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mc:AlternateContent xmlns:mc="http://schemas.openxmlformats.org/markup-compatibility/2006">
    <mc:Choice Requires="x15">
      <x15ac:absPath xmlns:x15ac="http://schemas.microsoft.com/office/spreadsheetml/2010/11/ac" url="\\Chaos\ob400\440\Projekte\_Projekte\Innovationgroup_2022_LCA_Reparatur\Bericht\"/>
    </mc:Choice>
  </mc:AlternateContent>
  <xr:revisionPtr revIDLastSave="0" documentId="13_ncr:1_{91CCEE44-D173-44A1-9DB0-7E05D16FBE97}" xr6:coauthVersionLast="47" xr6:coauthVersionMax="47" xr10:uidLastSave="{00000000-0000-0000-0000-000000000000}"/>
  <bookViews>
    <workbookView xWindow="-108" yWindow="-108" windowWidth="23256" windowHeight="12576" tabRatio="773" firstSheet="6" activeTab="6" xr2:uid="{00000000-000D-0000-FFFF-FFFF00000000}"/>
  </bookViews>
  <sheets>
    <sheet name="Übersicht" sheetId="24" r:id="rId1"/>
    <sheet name="Sachbilanz Stoßfänger" sheetId="13" r:id="rId2"/>
    <sheet name="Sachbilanz Autotür" sheetId="31" r:id="rId3"/>
    <sheet name="Sachbilanz Seitenteil " sheetId="32" r:id="rId4"/>
    <sheet name="Allokationen" sheetId="35" r:id="rId5"/>
    <sheet name="Daten Verbrauchsmaterialien" sheetId="33" r:id="rId6"/>
    <sheet name="Ergebnisse Basisszenario" sheetId="38" r:id="rId7"/>
    <sheet name="Ergebnisse PV Anlage" sheetId="39" r:id="rId8"/>
    <sheet name="Ergebnisse BHKW" sheetId="40" r:id="rId9"/>
    <sheet name="Ergebnisse Recycling Stoßfänger" sheetId="41" r:id="rId10"/>
    <sheet name="Ergebnisse leichtes Neuteil" sheetId="42" r:id="rId11"/>
    <sheet name="Ergebnisse Aluminium Tür" sheetId="43" r:id="rId12"/>
    <sheet name="Ergebnisse Recycletes Neuteil" sheetId="44" r:id="rId13"/>
    <sheet name="Ergebnisse lange Transportwege" sheetId="45" r:id="rId14"/>
    <sheet name="Ergebnisse Lackfarbe" sheetId="46" r:id="rId15"/>
    <sheet name="Ergebnisse Ideales Szenario" sheetId="47" r:id="rId16"/>
  </sheets>
  <definedNames>
    <definedName name="DATA1" localSheetId="2">#REF!</definedName>
    <definedName name="DATA1" localSheetId="3">#REF!</definedName>
    <definedName name="DATA1">#REF!</definedName>
    <definedName name="DATA10" localSheetId="2">#REF!</definedName>
    <definedName name="DATA10" localSheetId="3">#REF!</definedName>
    <definedName name="DATA10">#REF!</definedName>
    <definedName name="DATA11" localSheetId="2">#REF!</definedName>
    <definedName name="DATA11" localSheetId="3">#REF!</definedName>
    <definedName name="DATA11">#REF!</definedName>
    <definedName name="DATA12" localSheetId="2">#REF!</definedName>
    <definedName name="DATA12" localSheetId="3">#REF!</definedName>
    <definedName name="DATA12">#REF!</definedName>
    <definedName name="DATA2" localSheetId="2">#REF!</definedName>
    <definedName name="DATA2" localSheetId="3">#REF!</definedName>
    <definedName name="DATA2">#REF!</definedName>
    <definedName name="DATA3" localSheetId="2">#REF!</definedName>
    <definedName name="DATA3" localSheetId="3">#REF!</definedName>
    <definedName name="DATA3">#REF!</definedName>
    <definedName name="DATA4" localSheetId="2">#REF!</definedName>
    <definedName name="DATA4" localSheetId="3">#REF!</definedName>
    <definedName name="DATA4">#REF!</definedName>
    <definedName name="DATA5" localSheetId="2">#REF!</definedName>
    <definedName name="DATA5" localSheetId="3">#REF!</definedName>
    <definedName name="DATA5">#REF!</definedName>
    <definedName name="DATA6" localSheetId="2">#REF!</definedName>
    <definedName name="DATA6" localSheetId="3">#REF!</definedName>
    <definedName name="DATA6">#REF!</definedName>
    <definedName name="DATA7" localSheetId="2">#REF!</definedName>
    <definedName name="DATA7" localSheetId="3">#REF!</definedName>
    <definedName name="DATA7">#REF!</definedName>
    <definedName name="DATA8" localSheetId="2">#REF!</definedName>
    <definedName name="DATA8" localSheetId="3">#REF!</definedName>
    <definedName name="DATA8">#REF!</definedName>
    <definedName name="DATA9" localSheetId="2">#REF!</definedName>
    <definedName name="DATA9" localSheetId="3">#REF!</definedName>
    <definedName name="DATA9">#REF!</definedName>
    <definedName name="Datenherkunft" localSheetId="2">'Sachbilanz Autotür'!#REF!</definedName>
    <definedName name="Datenherkunft" localSheetId="3">'Sachbilanz Seitenteil '!#REF!</definedName>
    <definedName name="Datenherkunft" localSheetId="0">#REF!</definedName>
    <definedName name="Datenherkunft">'Sachbilanz Stoßfänger'!#REF!</definedName>
    <definedName name="Datenqualität" localSheetId="2">'Sachbilanz Autotür'!$A$222:$A$239</definedName>
    <definedName name="Datenqualität" localSheetId="3">'Sachbilanz Seitenteil '!#REF!</definedName>
    <definedName name="Datenqualität" localSheetId="0">#REF!</definedName>
    <definedName name="Datenqualität">'Sachbilanz Stoßfänger'!$A$548:$A$565</definedName>
    <definedName name="TEST1" localSheetId="2">#REF!</definedName>
    <definedName name="TEST1" localSheetId="3">#REF!</definedName>
    <definedName name="TEST1">#REF!</definedName>
    <definedName name="TEST10" localSheetId="2">#REF!</definedName>
    <definedName name="TEST10" localSheetId="3">#REF!</definedName>
    <definedName name="TEST10">#REF!</definedName>
    <definedName name="TEST11" localSheetId="2">#REF!</definedName>
    <definedName name="TEST11" localSheetId="3">#REF!</definedName>
    <definedName name="TEST11">#REF!</definedName>
    <definedName name="TEST12" localSheetId="2">#REF!</definedName>
    <definedName name="TEST12" localSheetId="3">#REF!</definedName>
    <definedName name="TEST12">#REF!</definedName>
    <definedName name="TEST13" localSheetId="2">#REF!</definedName>
    <definedName name="TEST13" localSheetId="3">#REF!</definedName>
    <definedName name="TEST13">#REF!</definedName>
    <definedName name="TEST14" localSheetId="2">#REF!</definedName>
    <definedName name="TEST14" localSheetId="3">#REF!</definedName>
    <definedName name="TEST14">#REF!</definedName>
    <definedName name="TEST15" localSheetId="2">#REF!</definedName>
    <definedName name="TEST15" localSheetId="3">#REF!</definedName>
    <definedName name="TEST15">#REF!</definedName>
    <definedName name="TEST16" localSheetId="2">#REF!</definedName>
    <definedName name="TEST16" localSheetId="3">#REF!</definedName>
    <definedName name="TEST16">#REF!</definedName>
    <definedName name="TEST17" localSheetId="2">#REF!</definedName>
    <definedName name="TEST17" localSheetId="3">#REF!</definedName>
    <definedName name="TEST17">#REF!</definedName>
    <definedName name="TEST18" localSheetId="2">#REF!</definedName>
    <definedName name="TEST18" localSheetId="3">#REF!</definedName>
    <definedName name="TEST18">#REF!</definedName>
    <definedName name="TEST19" localSheetId="2">#REF!</definedName>
    <definedName name="TEST19" localSheetId="3">#REF!</definedName>
    <definedName name="TEST19">#REF!</definedName>
    <definedName name="TEST2" localSheetId="2">#REF!</definedName>
    <definedName name="TEST2" localSheetId="3">#REF!</definedName>
    <definedName name="TEST2">#REF!</definedName>
    <definedName name="TEST20" localSheetId="2">#REF!</definedName>
    <definedName name="TEST20" localSheetId="3">#REF!</definedName>
    <definedName name="TEST20">#REF!</definedName>
    <definedName name="TEST21" localSheetId="2">#REF!</definedName>
    <definedName name="TEST21" localSheetId="3">#REF!</definedName>
    <definedName name="TEST21">#REF!</definedName>
    <definedName name="TEST22" localSheetId="2">#REF!</definedName>
    <definedName name="TEST22" localSheetId="3">#REF!</definedName>
    <definedName name="TEST22">#REF!</definedName>
    <definedName name="TEST23" localSheetId="2">#REF!</definedName>
    <definedName name="TEST23" localSheetId="3">#REF!</definedName>
    <definedName name="TEST23">#REF!</definedName>
    <definedName name="TEST24" localSheetId="2">#REF!</definedName>
    <definedName name="TEST24" localSheetId="3">#REF!</definedName>
    <definedName name="TEST24">#REF!</definedName>
    <definedName name="TEST25" localSheetId="2">#REF!</definedName>
    <definedName name="TEST25" localSheetId="3">#REF!</definedName>
    <definedName name="TEST25">#REF!</definedName>
    <definedName name="TEST26" localSheetId="2">#REF!</definedName>
    <definedName name="TEST26" localSheetId="3">#REF!</definedName>
    <definedName name="TEST26">#REF!</definedName>
    <definedName name="TEST27" localSheetId="2">#REF!</definedName>
    <definedName name="TEST27" localSheetId="3">#REF!</definedName>
    <definedName name="TEST27">#REF!</definedName>
    <definedName name="TEST28" localSheetId="2">#REF!</definedName>
    <definedName name="TEST28" localSheetId="3">#REF!</definedName>
    <definedName name="TEST28">#REF!</definedName>
    <definedName name="TEST29" localSheetId="2">#REF!</definedName>
    <definedName name="TEST29" localSheetId="3">#REF!</definedName>
    <definedName name="TEST29">#REF!</definedName>
    <definedName name="TEST3" localSheetId="2">#REF!</definedName>
    <definedName name="TEST3" localSheetId="3">#REF!</definedName>
    <definedName name="TEST3">#REF!</definedName>
    <definedName name="TEST30" localSheetId="2">#REF!</definedName>
    <definedName name="TEST30" localSheetId="3">#REF!</definedName>
    <definedName name="TEST30">#REF!</definedName>
    <definedName name="TEST31" localSheetId="2">#REF!</definedName>
    <definedName name="TEST31" localSheetId="3">#REF!</definedName>
    <definedName name="TEST31">#REF!</definedName>
    <definedName name="TEST32" localSheetId="2">#REF!</definedName>
    <definedName name="TEST32" localSheetId="3">#REF!</definedName>
    <definedName name="TEST32">#REF!</definedName>
    <definedName name="TEST33" localSheetId="2">#REF!</definedName>
    <definedName name="TEST33" localSheetId="3">#REF!</definedName>
    <definedName name="TEST33">#REF!</definedName>
    <definedName name="TEST34" localSheetId="2">#REF!</definedName>
    <definedName name="TEST34" localSheetId="3">#REF!</definedName>
    <definedName name="TEST34">#REF!</definedName>
    <definedName name="TEST4" localSheetId="2">#REF!</definedName>
    <definedName name="TEST4" localSheetId="3">#REF!</definedName>
    <definedName name="TEST4">#REF!</definedName>
    <definedName name="TEST5" localSheetId="2">#REF!</definedName>
    <definedName name="TEST5" localSheetId="3">#REF!</definedName>
    <definedName name="TEST5">#REF!</definedName>
    <definedName name="TEST6" localSheetId="2">#REF!</definedName>
    <definedName name="TEST6" localSheetId="3">#REF!</definedName>
    <definedName name="TEST6">#REF!</definedName>
    <definedName name="TEST7" localSheetId="2">#REF!</definedName>
    <definedName name="TEST7" localSheetId="3">#REF!</definedName>
    <definedName name="TEST7">#REF!</definedName>
    <definedName name="TEST8" localSheetId="2">#REF!</definedName>
    <definedName name="TEST8" localSheetId="3">#REF!</definedName>
    <definedName name="TEST8">#REF!</definedName>
    <definedName name="TEST9" localSheetId="2">#REF!</definedName>
    <definedName name="TEST9" localSheetId="3">#REF!</definedName>
    <definedName name="TEST9">#REF!</definedName>
    <definedName name="TESTHKEY" localSheetId="2">#REF!</definedName>
    <definedName name="TESTHKEY" localSheetId="3">#REF!</definedName>
    <definedName name="TESTHKEY">#REF!</definedName>
    <definedName name="TESTKEYS" localSheetId="2">#REF!</definedName>
    <definedName name="TESTKEYS" localSheetId="3">#REF!</definedName>
    <definedName name="TESTKEYS">#REF!</definedName>
    <definedName name="TESTVKEY" localSheetId="2">#REF!</definedName>
    <definedName name="TESTVKEY" localSheetId="3">#REF!</definedName>
    <definedName name="TESTVKEY">#REF!</definedName>
    <definedName name="zeitlich" localSheetId="2">'Sachbilanz Autotür'!$A$240:$A$246</definedName>
    <definedName name="zeitlich" localSheetId="3">'Sachbilanz Seitenteil '!#REF!</definedName>
    <definedName name="Zeitlich" localSheetId="0">#REF!</definedName>
    <definedName name="zeitlich">'Sachbilanz Stoßfänger'!$A$566:$A$604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86" i="32" l="1"/>
  <c r="C385" i="32"/>
  <c r="C356" i="32"/>
  <c r="C355" i="32"/>
  <c r="C316" i="32"/>
  <c r="C315" i="32"/>
  <c r="C281" i="32"/>
  <c r="C280" i="32"/>
  <c r="C251" i="32"/>
  <c r="C250" i="32"/>
  <c r="C221" i="32"/>
  <c r="C220" i="32"/>
  <c r="C170" i="32"/>
  <c r="C169" i="32"/>
  <c r="C36" i="32"/>
  <c r="C140" i="32"/>
  <c r="C139" i="32"/>
  <c r="C90" i="32"/>
  <c r="C89" i="32"/>
  <c r="C61" i="32"/>
  <c r="C60" i="32"/>
  <c r="C37" i="32"/>
  <c r="C356" i="31"/>
  <c r="C355" i="31"/>
  <c r="C322" i="31"/>
  <c r="C321" i="31"/>
  <c r="C282" i="31"/>
  <c r="C281" i="31"/>
  <c r="C255" i="31"/>
  <c r="C254" i="31"/>
  <c r="C205" i="31"/>
  <c r="C204" i="31"/>
  <c r="C169" i="31"/>
  <c r="C168" i="31"/>
  <c r="C113" i="31"/>
  <c r="C112" i="31"/>
  <c r="C75" i="31"/>
  <c r="C74" i="31"/>
  <c r="C45" i="31"/>
  <c r="C44" i="31"/>
  <c r="C679" i="13"/>
  <c r="C678" i="13"/>
  <c r="C641" i="13"/>
  <c r="C640" i="13"/>
  <c r="C615" i="13"/>
  <c r="C614" i="13"/>
  <c r="C580" i="13"/>
  <c r="C579" i="13"/>
  <c r="C517" i="13"/>
  <c r="C516" i="13"/>
  <c r="C475" i="13"/>
  <c r="C474" i="13"/>
  <c r="C345" i="13"/>
  <c r="C344" i="13"/>
  <c r="C308" i="13"/>
  <c r="C307" i="13"/>
  <c r="G27" i="47"/>
  <c r="F27" i="47"/>
  <c r="E27" i="47"/>
  <c r="D27" i="47"/>
  <c r="C27" i="47"/>
  <c r="B27" i="47"/>
  <c r="G26" i="47"/>
  <c r="F26" i="47"/>
  <c r="E26" i="47"/>
  <c r="D26" i="47"/>
  <c r="C26" i="47"/>
  <c r="B26" i="47"/>
  <c r="F21" i="47" a="1"/>
  <c r="F21" i="47" s="1"/>
  <c r="D21" i="47" a="1"/>
  <c r="D21" i="47" s="1"/>
  <c r="B21" i="47" a="1"/>
  <c r="B21" i="47" s="1"/>
  <c r="U18" i="47"/>
  <c r="T18" i="47"/>
  <c r="S18" i="47"/>
  <c r="P18" i="47"/>
  <c r="O18" i="47"/>
  <c r="N18" i="47"/>
  <c r="M18" i="47"/>
  <c r="L18" i="47"/>
  <c r="K18" i="47"/>
  <c r="U17" i="47"/>
  <c r="T17" i="47"/>
  <c r="S17" i="47"/>
  <c r="P17" i="47"/>
  <c r="O17" i="47"/>
  <c r="N17" i="47"/>
  <c r="M17" i="47"/>
  <c r="L17" i="47"/>
  <c r="K17" i="47"/>
  <c r="U16" i="47"/>
  <c r="T16" i="47"/>
  <c r="S16" i="47"/>
  <c r="P16" i="47"/>
  <c r="O16" i="47"/>
  <c r="N16" i="47"/>
  <c r="M16" i="47"/>
  <c r="L16" i="47"/>
  <c r="K16" i="47"/>
  <c r="U15" i="47"/>
  <c r="T15" i="47"/>
  <c r="S15" i="47"/>
  <c r="P15" i="47"/>
  <c r="O15" i="47"/>
  <c r="N15" i="47"/>
  <c r="M15" i="47"/>
  <c r="L15" i="47"/>
  <c r="K15" i="47"/>
  <c r="U14" i="47"/>
  <c r="T14" i="47"/>
  <c r="S14" i="47"/>
  <c r="P14" i="47"/>
  <c r="O14" i="47"/>
  <c r="N14" i="47"/>
  <c r="M14" i="47"/>
  <c r="L14" i="47"/>
  <c r="K14" i="47"/>
  <c r="U13" i="47"/>
  <c r="T13" i="47"/>
  <c r="S13" i="47"/>
  <c r="P13" i="47"/>
  <c r="O13" i="47"/>
  <c r="N13" i="47"/>
  <c r="M13" i="47"/>
  <c r="L13" i="47"/>
  <c r="K13" i="47"/>
  <c r="U12" i="47"/>
  <c r="T12" i="47"/>
  <c r="S12" i="47"/>
  <c r="P12" i="47"/>
  <c r="O12" i="47"/>
  <c r="N12" i="47"/>
  <c r="M12" i="47"/>
  <c r="L12" i="47"/>
  <c r="K12" i="47"/>
  <c r="U11" i="47"/>
  <c r="T11" i="47"/>
  <c r="S11" i="47"/>
  <c r="P11" i="47"/>
  <c r="O11" i="47"/>
  <c r="N11" i="47"/>
  <c r="M11" i="47"/>
  <c r="L11" i="47"/>
  <c r="K11" i="47"/>
  <c r="U10" i="47"/>
  <c r="T10" i="47"/>
  <c r="S10" i="47"/>
  <c r="P10" i="47"/>
  <c r="O10" i="47"/>
  <c r="N10" i="47"/>
  <c r="M10" i="47"/>
  <c r="L10" i="47"/>
  <c r="K10" i="47"/>
  <c r="U9" i="47"/>
  <c r="T9" i="47"/>
  <c r="S9" i="47"/>
  <c r="P9" i="47"/>
  <c r="O9" i="47"/>
  <c r="N9" i="47"/>
  <c r="M9" i="47"/>
  <c r="L9" i="47"/>
  <c r="K9" i="47"/>
  <c r="U8" i="47"/>
  <c r="T8" i="47"/>
  <c r="S8" i="47"/>
  <c r="P8" i="47"/>
  <c r="O8" i="47"/>
  <c r="N8" i="47"/>
  <c r="M8" i="47"/>
  <c r="L8" i="47"/>
  <c r="K8" i="47"/>
  <c r="U7" i="47"/>
  <c r="T7" i="47"/>
  <c r="S7" i="47"/>
  <c r="P7" i="47"/>
  <c r="O7" i="47"/>
  <c r="N7" i="47"/>
  <c r="M7" i="47"/>
  <c r="L7" i="47"/>
  <c r="K7" i="47"/>
  <c r="U6" i="47"/>
  <c r="T6" i="47"/>
  <c r="S6" i="47"/>
  <c r="P6" i="47"/>
  <c r="O6" i="47"/>
  <c r="N6" i="47"/>
  <c r="M6" i="47"/>
  <c r="L6" i="47"/>
  <c r="K6" i="47"/>
  <c r="U5" i="47"/>
  <c r="T5" i="47"/>
  <c r="S5" i="47"/>
  <c r="P5" i="47"/>
  <c r="O5" i="47"/>
  <c r="N5" i="47"/>
  <c r="M5" i="47"/>
  <c r="L5" i="47"/>
  <c r="K5" i="47"/>
  <c r="U4" i="47"/>
  <c r="T4" i="47"/>
  <c r="S4" i="47"/>
  <c r="P4" i="47"/>
  <c r="O4" i="47"/>
  <c r="N4" i="47"/>
  <c r="M4" i="47"/>
  <c r="L4" i="47"/>
  <c r="K4" i="47"/>
  <c r="U3" i="47"/>
  <c r="T3" i="47"/>
  <c r="S3" i="47"/>
  <c r="P3" i="47"/>
  <c r="O3" i="47"/>
  <c r="N3" i="47"/>
  <c r="M3" i="47"/>
  <c r="L3" i="47"/>
  <c r="K3" i="47"/>
  <c r="U2" i="47"/>
  <c r="T2" i="47"/>
  <c r="S2" i="47"/>
  <c r="P2" i="47"/>
  <c r="O2" i="47"/>
  <c r="N2" i="47"/>
  <c r="M2" i="47"/>
  <c r="L2" i="47"/>
  <c r="K2" i="47"/>
  <c r="G27" i="46"/>
  <c r="G31" i="46" s="1"/>
  <c r="F27" i="46"/>
  <c r="F31" i="46" s="1"/>
  <c r="E27" i="46"/>
  <c r="E31" i="46" s="1"/>
  <c r="D27" i="46"/>
  <c r="C27" i="46"/>
  <c r="B27" i="46"/>
  <c r="G26" i="46"/>
  <c r="F26" i="46"/>
  <c r="E26" i="46"/>
  <c r="D26" i="46"/>
  <c r="C26" i="46"/>
  <c r="B26" i="46"/>
  <c r="F21" i="46"/>
  <c r="F21" i="46" a="1"/>
  <c r="D21" i="46"/>
  <c r="D21" i="46" a="1"/>
  <c r="B21" i="46" a="1"/>
  <c r="B21" i="46" s="1"/>
  <c r="U18" i="46"/>
  <c r="T18" i="46"/>
  <c r="S18" i="46"/>
  <c r="P18" i="46"/>
  <c r="O18" i="46"/>
  <c r="N18" i="46"/>
  <c r="M18" i="46"/>
  <c r="L18" i="46"/>
  <c r="K18" i="46"/>
  <c r="U17" i="46"/>
  <c r="T17" i="46"/>
  <c r="S17" i="46"/>
  <c r="P17" i="46"/>
  <c r="O17" i="46"/>
  <c r="N17" i="46"/>
  <c r="M17" i="46"/>
  <c r="L17" i="46"/>
  <c r="K17" i="46"/>
  <c r="U16" i="46"/>
  <c r="T16" i="46"/>
  <c r="S16" i="46"/>
  <c r="P16" i="46"/>
  <c r="O16" i="46"/>
  <c r="N16" i="46"/>
  <c r="M16" i="46"/>
  <c r="L16" i="46"/>
  <c r="K16" i="46"/>
  <c r="U15" i="46"/>
  <c r="T15" i="46"/>
  <c r="S15" i="46"/>
  <c r="P15" i="46"/>
  <c r="O15" i="46"/>
  <c r="N15" i="46"/>
  <c r="M15" i="46"/>
  <c r="L15" i="46"/>
  <c r="K15" i="46"/>
  <c r="U14" i="46"/>
  <c r="T14" i="46"/>
  <c r="S14" i="46"/>
  <c r="P14" i="46"/>
  <c r="O14" i="46"/>
  <c r="N14" i="46"/>
  <c r="M14" i="46"/>
  <c r="L14" i="46"/>
  <c r="K14" i="46"/>
  <c r="U13" i="46"/>
  <c r="T13" i="46"/>
  <c r="S13" i="46"/>
  <c r="P13" i="46"/>
  <c r="O13" i="46"/>
  <c r="N13" i="46"/>
  <c r="M13" i="46"/>
  <c r="L13" i="46"/>
  <c r="K13" i="46"/>
  <c r="U12" i="46"/>
  <c r="T12" i="46"/>
  <c r="S12" i="46"/>
  <c r="P12" i="46"/>
  <c r="O12" i="46"/>
  <c r="N12" i="46"/>
  <c r="M12" i="46"/>
  <c r="L12" i="46"/>
  <c r="K12" i="46"/>
  <c r="U11" i="46"/>
  <c r="T11" i="46"/>
  <c r="S11" i="46"/>
  <c r="P11" i="46"/>
  <c r="O11" i="46"/>
  <c r="N11" i="46"/>
  <c r="M11" i="46"/>
  <c r="L11" i="46"/>
  <c r="K11" i="46"/>
  <c r="U10" i="46"/>
  <c r="T10" i="46"/>
  <c r="S10" i="46"/>
  <c r="P10" i="46"/>
  <c r="O10" i="46"/>
  <c r="N10" i="46"/>
  <c r="M10" i="46"/>
  <c r="L10" i="46"/>
  <c r="K10" i="46"/>
  <c r="U9" i="46"/>
  <c r="T9" i="46"/>
  <c r="S9" i="46"/>
  <c r="P9" i="46"/>
  <c r="O9" i="46"/>
  <c r="N9" i="46"/>
  <c r="M9" i="46"/>
  <c r="L9" i="46"/>
  <c r="K9" i="46"/>
  <c r="U8" i="46"/>
  <c r="T8" i="46"/>
  <c r="S8" i="46"/>
  <c r="P8" i="46"/>
  <c r="O8" i="46"/>
  <c r="N8" i="46"/>
  <c r="M8" i="46"/>
  <c r="L8" i="46"/>
  <c r="K8" i="46"/>
  <c r="U7" i="46"/>
  <c r="T7" i="46"/>
  <c r="S7" i="46"/>
  <c r="P7" i="46"/>
  <c r="O7" i="46"/>
  <c r="N7" i="46"/>
  <c r="M7" i="46"/>
  <c r="L7" i="46"/>
  <c r="K7" i="46"/>
  <c r="U6" i="46"/>
  <c r="T6" i="46"/>
  <c r="S6" i="46"/>
  <c r="P6" i="46"/>
  <c r="O6" i="46"/>
  <c r="N6" i="46"/>
  <c r="M6" i="46"/>
  <c r="L6" i="46"/>
  <c r="K6" i="46"/>
  <c r="U5" i="46"/>
  <c r="T5" i="46"/>
  <c r="S5" i="46"/>
  <c r="P5" i="46"/>
  <c r="O5" i="46"/>
  <c r="N5" i="46"/>
  <c r="M5" i="46"/>
  <c r="L5" i="46"/>
  <c r="K5" i="46"/>
  <c r="U4" i="46"/>
  <c r="T4" i="46"/>
  <c r="S4" i="46"/>
  <c r="P4" i="46"/>
  <c r="O4" i="46"/>
  <c r="N4" i="46"/>
  <c r="M4" i="46"/>
  <c r="L4" i="46"/>
  <c r="K4" i="46"/>
  <c r="U3" i="46"/>
  <c r="T3" i="46"/>
  <c r="S3" i="46"/>
  <c r="P3" i="46"/>
  <c r="O3" i="46"/>
  <c r="N3" i="46"/>
  <c r="M3" i="46"/>
  <c r="L3" i="46"/>
  <c r="K3" i="46"/>
  <c r="U2" i="46"/>
  <c r="T2" i="46"/>
  <c r="S2" i="46"/>
  <c r="P2" i="46"/>
  <c r="O2" i="46"/>
  <c r="N2" i="46"/>
  <c r="M2" i="46"/>
  <c r="L2" i="46"/>
  <c r="K2" i="46"/>
  <c r="G27" i="45"/>
  <c r="G31" i="45" s="1"/>
  <c r="F27" i="45"/>
  <c r="F31" i="45" s="1"/>
  <c r="E27" i="45"/>
  <c r="E31" i="45" s="1"/>
  <c r="D27" i="45"/>
  <c r="C27" i="45"/>
  <c r="B27" i="45"/>
  <c r="G26" i="45"/>
  <c r="F26" i="45"/>
  <c r="E26" i="45"/>
  <c r="D26" i="45"/>
  <c r="C26" i="45"/>
  <c r="B26" i="45"/>
  <c r="F21" i="45" a="1"/>
  <c r="F21" i="45" s="1"/>
  <c r="D21" i="45"/>
  <c r="D21" i="45" a="1"/>
  <c r="B21" i="45" a="1"/>
  <c r="B21" i="45" s="1"/>
  <c r="U18" i="45"/>
  <c r="T18" i="45"/>
  <c r="S18" i="45"/>
  <c r="P18" i="45"/>
  <c r="O18" i="45"/>
  <c r="N18" i="45"/>
  <c r="M18" i="45"/>
  <c r="L18" i="45"/>
  <c r="K18" i="45"/>
  <c r="U17" i="45"/>
  <c r="T17" i="45"/>
  <c r="S17" i="45"/>
  <c r="P17" i="45"/>
  <c r="O17" i="45"/>
  <c r="N17" i="45"/>
  <c r="M17" i="45"/>
  <c r="L17" i="45"/>
  <c r="K17" i="45"/>
  <c r="U16" i="45"/>
  <c r="T16" i="45"/>
  <c r="S16" i="45"/>
  <c r="P16" i="45"/>
  <c r="O16" i="45"/>
  <c r="N16" i="45"/>
  <c r="M16" i="45"/>
  <c r="L16" i="45"/>
  <c r="K16" i="45"/>
  <c r="U15" i="45"/>
  <c r="T15" i="45"/>
  <c r="S15" i="45"/>
  <c r="P15" i="45"/>
  <c r="O15" i="45"/>
  <c r="N15" i="45"/>
  <c r="M15" i="45"/>
  <c r="L15" i="45"/>
  <c r="K15" i="45"/>
  <c r="U14" i="45"/>
  <c r="T14" i="45"/>
  <c r="S14" i="45"/>
  <c r="P14" i="45"/>
  <c r="O14" i="45"/>
  <c r="N14" i="45"/>
  <c r="M14" i="45"/>
  <c r="L14" i="45"/>
  <c r="K14" i="45"/>
  <c r="U13" i="45"/>
  <c r="T13" i="45"/>
  <c r="S13" i="45"/>
  <c r="P13" i="45"/>
  <c r="O13" i="45"/>
  <c r="N13" i="45"/>
  <c r="M13" i="45"/>
  <c r="L13" i="45"/>
  <c r="K13" i="45"/>
  <c r="U12" i="45"/>
  <c r="T12" i="45"/>
  <c r="S12" i="45"/>
  <c r="P12" i="45"/>
  <c r="O12" i="45"/>
  <c r="N12" i="45"/>
  <c r="M12" i="45"/>
  <c r="L12" i="45"/>
  <c r="K12" i="45"/>
  <c r="U11" i="45"/>
  <c r="T11" i="45"/>
  <c r="S11" i="45"/>
  <c r="P11" i="45"/>
  <c r="O11" i="45"/>
  <c r="N11" i="45"/>
  <c r="M11" i="45"/>
  <c r="L11" i="45"/>
  <c r="K11" i="45"/>
  <c r="U10" i="45"/>
  <c r="T10" i="45"/>
  <c r="S10" i="45"/>
  <c r="P10" i="45"/>
  <c r="O10" i="45"/>
  <c r="N10" i="45"/>
  <c r="M10" i="45"/>
  <c r="L10" i="45"/>
  <c r="K10" i="45"/>
  <c r="U9" i="45"/>
  <c r="T9" i="45"/>
  <c r="S9" i="45"/>
  <c r="P9" i="45"/>
  <c r="O9" i="45"/>
  <c r="N9" i="45"/>
  <c r="M9" i="45"/>
  <c r="L9" i="45"/>
  <c r="K9" i="45"/>
  <c r="U8" i="45"/>
  <c r="T8" i="45"/>
  <c r="S8" i="45"/>
  <c r="P8" i="45"/>
  <c r="O8" i="45"/>
  <c r="N8" i="45"/>
  <c r="M8" i="45"/>
  <c r="L8" i="45"/>
  <c r="K8" i="45"/>
  <c r="U7" i="45"/>
  <c r="T7" i="45"/>
  <c r="S7" i="45"/>
  <c r="P7" i="45"/>
  <c r="O7" i="45"/>
  <c r="N7" i="45"/>
  <c r="M7" i="45"/>
  <c r="L7" i="45"/>
  <c r="K7" i="45"/>
  <c r="U6" i="45"/>
  <c r="T6" i="45"/>
  <c r="S6" i="45"/>
  <c r="P6" i="45"/>
  <c r="O6" i="45"/>
  <c r="N6" i="45"/>
  <c r="M6" i="45"/>
  <c r="L6" i="45"/>
  <c r="K6" i="45"/>
  <c r="U5" i="45"/>
  <c r="T5" i="45"/>
  <c r="S5" i="45"/>
  <c r="P5" i="45"/>
  <c r="O5" i="45"/>
  <c r="N5" i="45"/>
  <c r="M5" i="45"/>
  <c r="L5" i="45"/>
  <c r="K5" i="45"/>
  <c r="U4" i="45"/>
  <c r="T4" i="45"/>
  <c r="S4" i="45"/>
  <c r="P4" i="45"/>
  <c r="O4" i="45"/>
  <c r="N4" i="45"/>
  <c r="M4" i="45"/>
  <c r="L4" i="45"/>
  <c r="K4" i="45"/>
  <c r="U3" i="45"/>
  <c r="T3" i="45"/>
  <c r="S3" i="45"/>
  <c r="P3" i="45"/>
  <c r="O3" i="45"/>
  <c r="N3" i="45"/>
  <c r="M3" i="45"/>
  <c r="L3" i="45"/>
  <c r="K3" i="45"/>
  <c r="U2" i="45"/>
  <c r="T2" i="45"/>
  <c r="S2" i="45"/>
  <c r="P2" i="45"/>
  <c r="O2" i="45"/>
  <c r="N2" i="45"/>
  <c r="M2" i="45"/>
  <c r="L2" i="45"/>
  <c r="K2" i="45"/>
  <c r="E27" i="44"/>
  <c r="D27" i="44"/>
  <c r="D31" i="44" s="1"/>
  <c r="C27" i="44"/>
  <c r="C31" i="44" s="1"/>
  <c r="B27" i="44"/>
  <c r="E26" i="44"/>
  <c r="D26" i="44"/>
  <c r="C26" i="44"/>
  <c r="B26" i="44"/>
  <c r="D21" i="44"/>
  <c r="D21" i="44" a="1"/>
  <c r="B21" i="44"/>
  <c r="B21" i="44" a="1"/>
  <c r="Q18" i="44"/>
  <c r="P18" i="44"/>
  <c r="M18" i="44"/>
  <c r="L18" i="44"/>
  <c r="K18" i="44"/>
  <c r="J18" i="44"/>
  <c r="Q17" i="44"/>
  <c r="P17" i="44"/>
  <c r="M17" i="44"/>
  <c r="L17" i="44"/>
  <c r="K17" i="44"/>
  <c r="J17" i="44"/>
  <c r="Q16" i="44"/>
  <c r="P16" i="44"/>
  <c r="M16" i="44"/>
  <c r="L16" i="44"/>
  <c r="K16" i="44"/>
  <c r="J16" i="44"/>
  <c r="Q15" i="44"/>
  <c r="P15" i="44"/>
  <c r="M15" i="44"/>
  <c r="L15" i="44"/>
  <c r="K15" i="44"/>
  <c r="J15" i="44"/>
  <c r="Q14" i="44"/>
  <c r="P14" i="44"/>
  <c r="M14" i="44"/>
  <c r="L14" i="44"/>
  <c r="K14" i="44"/>
  <c r="J14" i="44"/>
  <c r="Q13" i="44"/>
  <c r="P13" i="44"/>
  <c r="M13" i="44"/>
  <c r="L13" i="44"/>
  <c r="K13" i="44"/>
  <c r="J13" i="44"/>
  <c r="Q12" i="44"/>
  <c r="P12" i="44"/>
  <c r="M12" i="44"/>
  <c r="L12" i="44"/>
  <c r="K12" i="44"/>
  <c r="J12" i="44"/>
  <c r="Q11" i="44"/>
  <c r="P11" i="44"/>
  <c r="M11" i="44"/>
  <c r="L11" i="44"/>
  <c r="K11" i="44"/>
  <c r="J11" i="44"/>
  <c r="Q10" i="44"/>
  <c r="P10" i="44"/>
  <c r="M10" i="44"/>
  <c r="L10" i="44"/>
  <c r="K10" i="44"/>
  <c r="J10" i="44"/>
  <c r="Q9" i="44"/>
  <c r="P9" i="44"/>
  <c r="M9" i="44"/>
  <c r="L9" i="44"/>
  <c r="K9" i="44"/>
  <c r="J9" i="44"/>
  <c r="Q8" i="44"/>
  <c r="P8" i="44"/>
  <c r="M8" i="44"/>
  <c r="L8" i="44"/>
  <c r="K8" i="44"/>
  <c r="J8" i="44"/>
  <c r="Q7" i="44"/>
  <c r="P7" i="44"/>
  <c r="M7" i="44"/>
  <c r="L7" i="44"/>
  <c r="K7" i="44"/>
  <c r="J7" i="44"/>
  <c r="Q6" i="44"/>
  <c r="P6" i="44"/>
  <c r="M6" i="44"/>
  <c r="L6" i="44"/>
  <c r="K6" i="44"/>
  <c r="J6" i="44"/>
  <c r="Q5" i="44"/>
  <c r="P5" i="44"/>
  <c r="M5" i="44"/>
  <c r="L5" i="44"/>
  <c r="K5" i="44"/>
  <c r="J5" i="44"/>
  <c r="Q4" i="44"/>
  <c r="P4" i="44"/>
  <c r="M4" i="44"/>
  <c r="L4" i="44"/>
  <c r="K4" i="44"/>
  <c r="J4" i="44"/>
  <c r="Q3" i="44"/>
  <c r="P3" i="44"/>
  <c r="M3" i="44"/>
  <c r="L3" i="44"/>
  <c r="K3" i="44"/>
  <c r="J3" i="44"/>
  <c r="Q2" i="44"/>
  <c r="P2" i="44"/>
  <c r="M2" i="44"/>
  <c r="L2" i="44"/>
  <c r="K2" i="44"/>
  <c r="J2" i="44"/>
  <c r="C27" i="43"/>
  <c r="C31" i="43" s="1"/>
  <c r="B27" i="43"/>
  <c r="C26" i="43"/>
  <c r="B26" i="43"/>
  <c r="B21" i="43"/>
  <c r="B21" i="43" a="1"/>
  <c r="L18" i="43"/>
  <c r="I18" i="43"/>
  <c r="H18" i="43"/>
  <c r="L17" i="43"/>
  <c r="I17" i="43"/>
  <c r="H17" i="43"/>
  <c r="L16" i="43"/>
  <c r="I16" i="43"/>
  <c r="H16" i="43"/>
  <c r="L15" i="43"/>
  <c r="I15" i="43"/>
  <c r="H15" i="43"/>
  <c r="L14" i="43"/>
  <c r="I14" i="43"/>
  <c r="H14" i="43"/>
  <c r="L13" i="43"/>
  <c r="I13" i="43"/>
  <c r="H13" i="43"/>
  <c r="L12" i="43"/>
  <c r="I12" i="43"/>
  <c r="H12" i="43"/>
  <c r="L11" i="43"/>
  <c r="I11" i="43"/>
  <c r="H11" i="43"/>
  <c r="L10" i="43"/>
  <c r="I10" i="43"/>
  <c r="H10" i="43"/>
  <c r="L9" i="43"/>
  <c r="I9" i="43"/>
  <c r="H9" i="43"/>
  <c r="L8" i="43"/>
  <c r="I8" i="43"/>
  <c r="H8" i="43"/>
  <c r="L7" i="43"/>
  <c r="I7" i="43"/>
  <c r="H7" i="43"/>
  <c r="L6" i="43"/>
  <c r="I6" i="43"/>
  <c r="H6" i="43"/>
  <c r="L5" i="43"/>
  <c r="I5" i="43"/>
  <c r="H5" i="43"/>
  <c r="L4" i="43"/>
  <c r="I4" i="43"/>
  <c r="H4" i="43"/>
  <c r="L3" i="43"/>
  <c r="I3" i="43"/>
  <c r="H3" i="43"/>
  <c r="L2" i="43"/>
  <c r="I2" i="43"/>
  <c r="H2" i="43"/>
  <c r="G27" i="42"/>
  <c r="F27" i="42"/>
  <c r="E27" i="42"/>
  <c r="D27" i="42"/>
  <c r="D31" i="42" s="1"/>
  <c r="C27" i="42"/>
  <c r="C31" i="42" s="1"/>
  <c r="B27" i="42"/>
  <c r="B31" i="42" s="1"/>
  <c r="G26" i="42"/>
  <c r="F26" i="42"/>
  <c r="E26" i="42"/>
  <c r="D26" i="42"/>
  <c r="C26" i="42"/>
  <c r="B26" i="42"/>
  <c r="F21" i="42" a="1"/>
  <c r="F21" i="42" s="1"/>
  <c r="D21" i="42" a="1"/>
  <c r="D21" i="42" s="1"/>
  <c r="B21" i="42" a="1"/>
  <c r="B21" i="42" s="1"/>
  <c r="U18" i="42"/>
  <c r="T18" i="42"/>
  <c r="S18" i="42"/>
  <c r="P18" i="42"/>
  <c r="O18" i="42"/>
  <c r="N18" i="42"/>
  <c r="M18" i="42"/>
  <c r="L18" i="42"/>
  <c r="K18" i="42"/>
  <c r="U17" i="42"/>
  <c r="T17" i="42"/>
  <c r="S17" i="42"/>
  <c r="P17" i="42"/>
  <c r="O17" i="42"/>
  <c r="N17" i="42"/>
  <c r="M17" i="42"/>
  <c r="L17" i="42"/>
  <c r="K17" i="42"/>
  <c r="U16" i="42"/>
  <c r="T16" i="42"/>
  <c r="S16" i="42"/>
  <c r="P16" i="42"/>
  <c r="O16" i="42"/>
  <c r="N16" i="42"/>
  <c r="M16" i="42"/>
  <c r="L16" i="42"/>
  <c r="K16" i="42"/>
  <c r="U15" i="42"/>
  <c r="T15" i="42"/>
  <c r="S15" i="42"/>
  <c r="P15" i="42"/>
  <c r="O15" i="42"/>
  <c r="N15" i="42"/>
  <c r="M15" i="42"/>
  <c r="L15" i="42"/>
  <c r="K15" i="42"/>
  <c r="U14" i="42"/>
  <c r="T14" i="42"/>
  <c r="S14" i="42"/>
  <c r="P14" i="42"/>
  <c r="O14" i="42"/>
  <c r="N14" i="42"/>
  <c r="M14" i="42"/>
  <c r="L14" i="42"/>
  <c r="K14" i="42"/>
  <c r="U13" i="42"/>
  <c r="T13" i="42"/>
  <c r="S13" i="42"/>
  <c r="P13" i="42"/>
  <c r="O13" i="42"/>
  <c r="N13" i="42"/>
  <c r="M13" i="42"/>
  <c r="L13" i="42"/>
  <c r="K13" i="42"/>
  <c r="U12" i="42"/>
  <c r="T12" i="42"/>
  <c r="S12" i="42"/>
  <c r="P12" i="42"/>
  <c r="O12" i="42"/>
  <c r="N12" i="42"/>
  <c r="M12" i="42"/>
  <c r="L12" i="42"/>
  <c r="K12" i="42"/>
  <c r="U11" i="42"/>
  <c r="T11" i="42"/>
  <c r="S11" i="42"/>
  <c r="P11" i="42"/>
  <c r="O11" i="42"/>
  <c r="N11" i="42"/>
  <c r="M11" i="42"/>
  <c r="L11" i="42"/>
  <c r="K11" i="42"/>
  <c r="U10" i="42"/>
  <c r="T10" i="42"/>
  <c r="S10" i="42"/>
  <c r="P10" i="42"/>
  <c r="O10" i="42"/>
  <c r="N10" i="42"/>
  <c r="M10" i="42"/>
  <c r="L10" i="42"/>
  <c r="K10" i="42"/>
  <c r="U9" i="42"/>
  <c r="T9" i="42"/>
  <c r="S9" i="42"/>
  <c r="P9" i="42"/>
  <c r="O9" i="42"/>
  <c r="N9" i="42"/>
  <c r="M9" i="42"/>
  <c r="L9" i="42"/>
  <c r="K9" i="42"/>
  <c r="U8" i="42"/>
  <c r="T8" i="42"/>
  <c r="S8" i="42"/>
  <c r="P8" i="42"/>
  <c r="O8" i="42"/>
  <c r="N8" i="42"/>
  <c r="M8" i="42"/>
  <c r="L8" i="42"/>
  <c r="K8" i="42"/>
  <c r="U7" i="42"/>
  <c r="T7" i="42"/>
  <c r="S7" i="42"/>
  <c r="P7" i="42"/>
  <c r="O7" i="42"/>
  <c r="N7" i="42"/>
  <c r="M7" i="42"/>
  <c r="L7" i="42"/>
  <c r="K7" i="42"/>
  <c r="U6" i="42"/>
  <c r="T6" i="42"/>
  <c r="S6" i="42"/>
  <c r="P6" i="42"/>
  <c r="O6" i="42"/>
  <c r="N6" i="42"/>
  <c r="M6" i="42"/>
  <c r="L6" i="42"/>
  <c r="K6" i="42"/>
  <c r="U5" i="42"/>
  <c r="T5" i="42"/>
  <c r="S5" i="42"/>
  <c r="P5" i="42"/>
  <c r="O5" i="42"/>
  <c r="N5" i="42"/>
  <c r="M5" i="42"/>
  <c r="L5" i="42"/>
  <c r="K5" i="42"/>
  <c r="U4" i="42"/>
  <c r="T4" i="42"/>
  <c r="S4" i="42"/>
  <c r="P4" i="42"/>
  <c r="O4" i="42"/>
  <c r="N4" i="42"/>
  <c r="M4" i="42"/>
  <c r="L4" i="42"/>
  <c r="K4" i="42"/>
  <c r="U3" i="42"/>
  <c r="T3" i="42"/>
  <c r="S3" i="42"/>
  <c r="P3" i="42"/>
  <c r="O3" i="42"/>
  <c r="N3" i="42"/>
  <c r="M3" i="42"/>
  <c r="L3" i="42"/>
  <c r="K3" i="42"/>
  <c r="U2" i="42"/>
  <c r="T2" i="42"/>
  <c r="S2" i="42"/>
  <c r="P2" i="42"/>
  <c r="O2" i="42"/>
  <c r="N2" i="42"/>
  <c r="M2" i="42"/>
  <c r="L2" i="42"/>
  <c r="K2" i="42"/>
  <c r="C27" i="41"/>
  <c r="C31" i="41" s="1"/>
  <c r="B27" i="41"/>
  <c r="C26" i="41"/>
  <c r="B26" i="41"/>
  <c r="B21" i="41"/>
  <c r="B21" i="41" a="1"/>
  <c r="L18" i="41"/>
  <c r="I18" i="41"/>
  <c r="H18" i="41"/>
  <c r="L17" i="41"/>
  <c r="I17" i="41"/>
  <c r="H17" i="41"/>
  <c r="L16" i="41"/>
  <c r="I16" i="41"/>
  <c r="H16" i="41"/>
  <c r="L15" i="41"/>
  <c r="I15" i="41"/>
  <c r="H15" i="41"/>
  <c r="L14" i="41"/>
  <c r="I14" i="41"/>
  <c r="H14" i="41"/>
  <c r="L13" i="41"/>
  <c r="I13" i="41"/>
  <c r="H13" i="41"/>
  <c r="L12" i="41"/>
  <c r="I12" i="41"/>
  <c r="H12" i="41"/>
  <c r="L11" i="41"/>
  <c r="I11" i="41"/>
  <c r="H11" i="41"/>
  <c r="L10" i="41"/>
  <c r="I10" i="41"/>
  <c r="H10" i="41"/>
  <c r="L9" i="41"/>
  <c r="I9" i="41"/>
  <c r="H9" i="41"/>
  <c r="L8" i="41"/>
  <c r="I8" i="41"/>
  <c r="H8" i="41"/>
  <c r="L7" i="41"/>
  <c r="I7" i="41"/>
  <c r="H7" i="41"/>
  <c r="L6" i="41"/>
  <c r="I6" i="41"/>
  <c r="H6" i="41"/>
  <c r="L5" i="41"/>
  <c r="I5" i="41"/>
  <c r="H5" i="41"/>
  <c r="L4" i="41"/>
  <c r="I4" i="41"/>
  <c r="H4" i="41"/>
  <c r="L3" i="41"/>
  <c r="I3" i="41"/>
  <c r="H3" i="41"/>
  <c r="L2" i="41"/>
  <c r="I2" i="41"/>
  <c r="H2" i="41"/>
  <c r="G27" i="40"/>
  <c r="F27" i="40"/>
  <c r="E27" i="40"/>
  <c r="D27" i="40"/>
  <c r="D31" i="40" s="1"/>
  <c r="C27" i="40"/>
  <c r="C31" i="40" s="1"/>
  <c r="B27" i="40"/>
  <c r="B31" i="40" s="1"/>
  <c r="G26" i="40"/>
  <c r="F26" i="40"/>
  <c r="E26" i="40"/>
  <c r="D26" i="40"/>
  <c r="C26" i="40"/>
  <c r="B26" i="40"/>
  <c r="F21" i="40" a="1"/>
  <c r="F21" i="40" s="1"/>
  <c r="D21" i="40" a="1"/>
  <c r="D21" i="40" s="1"/>
  <c r="B21" i="40" a="1"/>
  <c r="B21" i="40" s="1"/>
  <c r="U18" i="40"/>
  <c r="T18" i="40"/>
  <c r="S18" i="40"/>
  <c r="P18" i="40"/>
  <c r="O18" i="40"/>
  <c r="N18" i="40"/>
  <c r="M18" i="40"/>
  <c r="L18" i="40"/>
  <c r="K18" i="40"/>
  <c r="U17" i="40"/>
  <c r="T17" i="40"/>
  <c r="S17" i="40"/>
  <c r="P17" i="40"/>
  <c r="O17" i="40"/>
  <c r="N17" i="40"/>
  <c r="M17" i="40"/>
  <c r="L17" i="40"/>
  <c r="K17" i="40"/>
  <c r="U16" i="40"/>
  <c r="T16" i="40"/>
  <c r="S16" i="40"/>
  <c r="P16" i="40"/>
  <c r="O16" i="40"/>
  <c r="N16" i="40"/>
  <c r="M16" i="40"/>
  <c r="L16" i="40"/>
  <c r="K16" i="40"/>
  <c r="U15" i="40"/>
  <c r="T15" i="40"/>
  <c r="S15" i="40"/>
  <c r="P15" i="40"/>
  <c r="O15" i="40"/>
  <c r="N15" i="40"/>
  <c r="M15" i="40"/>
  <c r="L15" i="40"/>
  <c r="K15" i="40"/>
  <c r="U14" i="40"/>
  <c r="T14" i="40"/>
  <c r="S14" i="40"/>
  <c r="P14" i="40"/>
  <c r="O14" i="40"/>
  <c r="N14" i="40"/>
  <c r="M14" i="40"/>
  <c r="L14" i="40"/>
  <c r="K14" i="40"/>
  <c r="U13" i="40"/>
  <c r="T13" i="40"/>
  <c r="S13" i="40"/>
  <c r="P13" i="40"/>
  <c r="O13" i="40"/>
  <c r="N13" i="40"/>
  <c r="M13" i="40"/>
  <c r="L13" i="40"/>
  <c r="K13" i="40"/>
  <c r="U12" i="40"/>
  <c r="T12" i="40"/>
  <c r="S12" i="40"/>
  <c r="P12" i="40"/>
  <c r="O12" i="40"/>
  <c r="N12" i="40"/>
  <c r="M12" i="40"/>
  <c r="L12" i="40"/>
  <c r="K12" i="40"/>
  <c r="U11" i="40"/>
  <c r="T11" i="40"/>
  <c r="S11" i="40"/>
  <c r="P11" i="40"/>
  <c r="O11" i="40"/>
  <c r="N11" i="40"/>
  <c r="M11" i="40"/>
  <c r="L11" i="40"/>
  <c r="K11" i="40"/>
  <c r="U10" i="40"/>
  <c r="T10" i="40"/>
  <c r="S10" i="40"/>
  <c r="P10" i="40"/>
  <c r="O10" i="40"/>
  <c r="N10" i="40"/>
  <c r="M10" i="40"/>
  <c r="L10" i="40"/>
  <c r="K10" i="40"/>
  <c r="U9" i="40"/>
  <c r="T9" i="40"/>
  <c r="S9" i="40"/>
  <c r="P9" i="40"/>
  <c r="O9" i="40"/>
  <c r="N9" i="40"/>
  <c r="M9" i="40"/>
  <c r="L9" i="40"/>
  <c r="K9" i="40"/>
  <c r="U8" i="40"/>
  <c r="T8" i="40"/>
  <c r="S8" i="40"/>
  <c r="P8" i="40"/>
  <c r="O8" i="40"/>
  <c r="N8" i="40"/>
  <c r="M8" i="40"/>
  <c r="L8" i="40"/>
  <c r="K8" i="40"/>
  <c r="U7" i="40"/>
  <c r="T7" i="40"/>
  <c r="S7" i="40"/>
  <c r="P7" i="40"/>
  <c r="O7" i="40"/>
  <c r="N7" i="40"/>
  <c r="M7" i="40"/>
  <c r="L7" i="40"/>
  <c r="K7" i="40"/>
  <c r="U6" i="40"/>
  <c r="T6" i="40"/>
  <c r="S6" i="40"/>
  <c r="P6" i="40"/>
  <c r="O6" i="40"/>
  <c r="N6" i="40"/>
  <c r="M6" i="40"/>
  <c r="L6" i="40"/>
  <c r="K6" i="40"/>
  <c r="U5" i="40"/>
  <c r="T5" i="40"/>
  <c r="S5" i="40"/>
  <c r="P5" i="40"/>
  <c r="O5" i="40"/>
  <c r="N5" i="40"/>
  <c r="M5" i="40"/>
  <c r="L5" i="40"/>
  <c r="K5" i="40"/>
  <c r="U4" i="40"/>
  <c r="T4" i="40"/>
  <c r="S4" i="40"/>
  <c r="P4" i="40"/>
  <c r="O4" i="40"/>
  <c r="N4" i="40"/>
  <c r="M4" i="40"/>
  <c r="L4" i="40"/>
  <c r="K4" i="40"/>
  <c r="U3" i="40"/>
  <c r="T3" i="40"/>
  <c r="S3" i="40"/>
  <c r="P3" i="40"/>
  <c r="O3" i="40"/>
  <c r="N3" i="40"/>
  <c r="M3" i="40"/>
  <c r="L3" i="40"/>
  <c r="K3" i="40"/>
  <c r="U2" i="40"/>
  <c r="T2" i="40"/>
  <c r="S2" i="40"/>
  <c r="P2" i="40"/>
  <c r="O2" i="40"/>
  <c r="N2" i="40"/>
  <c r="M2" i="40"/>
  <c r="L2" i="40"/>
  <c r="K2" i="40"/>
  <c r="G27" i="39"/>
  <c r="G31" i="39" s="1"/>
  <c r="F27" i="39"/>
  <c r="F31" i="39" s="1"/>
  <c r="E27" i="39"/>
  <c r="E31" i="39" s="1"/>
  <c r="D27" i="39"/>
  <c r="C27" i="39"/>
  <c r="C31" i="39" s="1"/>
  <c r="B27" i="39"/>
  <c r="B31" i="39" s="1"/>
  <c r="G26" i="39"/>
  <c r="F26" i="39"/>
  <c r="E26" i="39"/>
  <c r="D26" i="39"/>
  <c r="C26" i="39"/>
  <c r="B26" i="39"/>
  <c r="F21" i="39"/>
  <c r="F21" i="39" a="1"/>
  <c r="D21" i="39"/>
  <c r="D21" i="39" a="1"/>
  <c r="B21" i="39"/>
  <c r="B21" i="39" a="1"/>
  <c r="U18" i="39"/>
  <c r="T18" i="39"/>
  <c r="S18" i="39"/>
  <c r="P18" i="39"/>
  <c r="O18" i="39"/>
  <c r="N18" i="39"/>
  <c r="M18" i="39"/>
  <c r="L18" i="39"/>
  <c r="K18" i="39"/>
  <c r="U17" i="39"/>
  <c r="T17" i="39"/>
  <c r="S17" i="39"/>
  <c r="P17" i="39"/>
  <c r="O17" i="39"/>
  <c r="N17" i="39"/>
  <c r="M17" i="39"/>
  <c r="L17" i="39"/>
  <c r="K17" i="39"/>
  <c r="U16" i="39"/>
  <c r="T16" i="39"/>
  <c r="S16" i="39"/>
  <c r="P16" i="39"/>
  <c r="O16" i="39"/>
  <c r="N16" i="39"/>
  <c r="M16" i="39"/>
  <c r="L16" i="39"/>
  <c r="K16" i="39"/>
  <c r="U15" i="39"/>
  <c r="T15" i="39"/>
  <c r="S15" i="39"/>
  <c r="P15" i="39"/>
  <c r="O15" i="39"/>
  <c r="N15" i="39"/>
  <c r="M15" i="39"/>
  <c r="L15" i="39"/>
  <c r="K15" i="39"/>
  <c r="U14" i="39"/>
  <c r="T14" i="39"/>
  <c r="S14" i="39"/>
  <c r="P14" i="39"/>
  <c r="O14" i="39"/>
  <c r="N14" i="39"/>
  <c r="M14" i="39"/>
  <c r="L14" i="39"/>
  <c r="K14" i="39"/>
  <c r="U13" i="39"/>
  <c r="T13" i="39"/>
  <c r="S13" i="39"/>
  <c r="P13" i="39"/>
  <c r="O13" i="39"/>
  <c r="N13" i="39"/>
  <c r="M13" i="39"/>
  <c r="L13" i="39"/>
  <c r="K13" i="39"/>
  <c r="U12" i="39"/>
  <c r="T12" i="39"/>
  <c r="S12" i="39"/>
  <c r="P12" i="39"/>
  <c r="O12" i="39"/>
  <c r="N12" i="39"/>
  <c r="M12" i="39"/>
  <c r="L12" i="39"/>
  <c r="K12" i="39"/>
  <c r="U11" i="39"/>
  <c r="T11" i="39"/>
  <c r="S11" i="39"/>
  <c r="P11" i="39"/>
  <c r="O11" i="39"/>
  <c r="N11" i="39"/>
  <c r="M11" i="39"/>
  <c r="L11" i="39"/>
  <c r="K11" i="39"/>
  <c r="U10" i="39"/>
  <c r="T10" i="39"/>
  <c r="S10" i="39"/>
  <c r="P10" i="39"/>
  <c r="O10" i="39"/>
  <c r="N10" i="39"/>
  <c r="M10" i="39"/>
  <c r="L10" i="39"/>
  <c r="K10" i="39"/>
  <c r="U9" i="39"/>
  <c r="T9" i="39"/>
  <c r="S9" i="39"/>
  <c r="P9" i="39"/>
  <c r="O9" i="39"/>
  <c r="N9" i="39"/>
  <c r="M9" i="39"/>
  <c r="L9" i="39"/>
  <c r="K9" i="39"/>
  <c r="U8" i="39"/>
  <c r="T8" i="39"/>
  <c r="S8" i="39"/>
  <c r="P8" i="39"/>
  <c r="O8" i="39"/>
  <c r="N8" i="39"/>
  <c r="M8" i="39"/>
  <c r="L8" i="39"/>
  <c r="K8" i="39"/>
  <c r="U7" i="39"/>
  <c r="T7" i="39"/>
  <c r="S7" i="39"/>
  <c r="P7" i="39"/>
  <c r="O7" i="39"/>
  <c r="N7" i="39"/>
  <c r="M7" i="39"/>
  <c r="L7" i="39"/>
  <c r="K7" i="39"/>
  <c r="U6" i="39"/>
  <c r="T6" i="39"/>
  <c r="S6" i="39"/>
  <c r="P6" i="39"/>
  <c r="O6" i="39"/>
  <c r="N6" i="39"/>
  <c r="M6" i="39"/>
  <c r="L6" i="39"/>
  <c r="K6" i="39"/>
  <c r="U5" i="39"/>
  <c r="T5" i="39"/>
  <c r="S5" i="39"/>
  <c r="P5" i="39"/>
  <c r="O5" i="39"/>
  <c r="N5" i="39"/>
  <c r="M5" i="39"/>
  <c r="L5" i="39"/>
  <c r="K5" i="39"/>
  <c r="U4" i="39"/>
  <c r="T4" i="39"/>
  <c r="S4" i="39"/>
  <c r="P4" i="39"/>
  <c r="O4" i="39"/>
  <c r="N4" i="39"/>
  <c r="M4" i="39"/>
  <c r="L4" i="39"/>
  <c r="K4" i="39"/>
  <c r="U3" i="39"/>
  <c r="T3" i="39"/>
  <c r="S3" i="39"/>
  <c r="P3" i="39"/>
  <c r="O3" i="39"/>
  <c r="N3" i="39"/>
  <c r="M3" i="39"/>
  <c r="L3" i="39"/>
  <c r="K3" i="39"/>
  <c r="U2" i="39"/>
  <c r="T2" i="39"/>
  <c r="S2" i="39"/>
  <c r="P2" i="39"/>
  <c r="O2" i="39"/>
  <c r="N2" i="39"/>
  <c r="M2" i="39"/>
  <c r="L2" i="39"/>
  <c r="K2" i="39"/>
  <c r="E48" i="38"/>
  <c r="D48" i="38"/>
  <c r="C48" i="38"/>
  <c r="E47" i="38"/>
  <c r="D47" i="38"/>
  <c r="C47" i="38"/>
  <c r="E46" i="38"/>
  <c r="D46" i="38"/>
  <c r="C46" i="38"/>
  <c r="E45" i="38"/>
  <c r="D45" i="38"/>
  <c r="C45" i="38"/>
  <c r="E44" i="38"/>
  <c r="D44" i="38"/>
  <c r="C44" i="38"/>
  <c r="E43" i="38"/>
  <c r="D43" i="38"/>
  <c r="C43" i="38"/>
  <c r="E42" i="38"/>
  <c r="D42" i="38"/>
  <c r="C42" i="38"/>
  <c r="E41" i="38"/>
  <c r="D41" i="38"/>
  <c r="C41" i="38"/>
  <c r="E40" i="38"/>
  <c r="D40" i="38"/>
  <c r="C40" i="38"/>
  <c r="E39" i="38"/>
  <c r="D39" i="38"/>
  <c r="C39" i="38"/>
  <c r="E38" i="38"/>
  <c r="D38" i="38"/>
  <c r="C38" i="38"/>
  <c r="E37" i="38"/>
  <c r="D37" i="38"/>
  <c r="C37" i="38"/>
  <c r="E36" i="38"/>
  <c r="D36" i="38"/>
  <c r="C36" i="38"/>
  <c r="E35" i="38"/>
  <c r="D35" i="38"/>
  <c r="C35" i="38"/>
  <c r="E34" i="38"/>
  <c r="D34" i="38"/>
  <c r="C34" i="38"/>
  <c r="E33" i="38"/>
  <c r="D33" i="38"/>
  <c r="C33" i="38"/>
  <c r="E32" i="38"/>
  <c r="D32" i="38"/>
  <c r="C32" i="38"/>
  <c r="E31" i="38"/>
  <c r="D31" i="38"/>
  <c r="C31" i="38"/>
  <c r="E30" i="38"/>
  <c r="D30" i="38"/>
  <c r="C30" i="38"/>
  <c r="G25" i="38"/>
  <c r="F25" i="38"/>
  <c r="E25" i="38"/>
  <c r="D25" i="38"/>
  <c r="C25" i="38"/>
  <c r="B25" i="38"/>
  <c r="G24" i="38"/>
  <c r="F24" i="38"/>
  <c r="E24" i="38"/>
  <c r="D24" i="38"/>
  <c r="C24" i="38"/>
  <c r="B24" i="38"/>
  <c r="G23" i="38"/>
  <c r="F23" i="38"/>
  <c r="E23" i="38"/>
  <c r="D23" i="38"/>
  <c r="C23" i="38"/>
  <c r="B23" i="38"/>
  <c r="S3" i="38"/>
  <c r="R3" i="38"/>
  <c r="Q3" i="38"/>
  <c r="P3" i="38"/>
  <c r="O3" i="38"/>
  <c r="N3" i="38"/>
  <c r="M3" i="38"/>
  <c r="N4" i="38" s="1"/>
  <c r="P4" i="38" l="1"/>
  <c r="B31" i="44"/>
  <c r="B28" i="42"/>
  <c r="C28" i="44"/>
  <c r="C32" i="44" s="1"/>
  <c r="R4" i="38"/>
  <c r="F28" i="46"/>
  <c r="F29" i="46" s="1"/>
  <c r="F31" i="42"/>
  <c r="D28" i="44"/>
  <c r="D32" i="44" s="1"/>
  <c r="B28" i="45"/>
  <c r="B32" i="45" s="1"/>
  <c r="C28" i="45"/>
  <c r="C30" i="45" s="1"/>
  <c r="D31" i="39"/>
  <c r="E31" i="44"/>
  <c r="D28" i="45"/>
  <c r="D30" i="45" s="1"/>
  <c r="B28" i="46"/>
  <c r="B32" i="46" s="1"/>
  <c r="B31" i="47"/>
  <c r="B28" i="39"/>
  <c r="B32" i="39" s="1"/>
  <c r="B28" i="40"/>
  <c r="B29" i="40" s="1"/>
  <c r="C28" i="42"/>
  <c r="C30" i="42" s="1"/>
  <c r="E28" i="45"/>
  <c r="E32" i="45" s="1"/>
  <c r="C31" i="46"/>
  <c r="C31" i="47"/>
  <c r="C28" i="43"/>
  <c r="C32" i="43" s="1"/>
  <c r="C28" i="39"/>
  <c r="C32" i="39" s="1"/>
  <c r="C28" i="40"/>
  <c r="C29" i="40" s="1"/>
  <c r="D28" i="42"/>
  <c r="D29" i="42" s="1"/>
  <c r="F28" i="45"/>
  <c r="F29" i="45" s="1"/>
  <c r="D28" i="46"/>
  <c r="D32" i="46" s="1"/>
  <c r="D31" i="47"/>
  <c r="D28" i="39"/>
  <c r="D32" i="39" s="1"/>
  <c r="D28" i="40"/>
  <c r="D32" i="40" s="1"/>
  <c r="E31" i="42"/>
  <c r="G28" i="45"/>
  <c r="E28" i="46"/>
  <c r="E30" i="46" s="1"/>
  <c r="E31" i="47"/>
  <c r="E28" i="39"/>
  <c r="E29" i="39" s="1"/>
  <c r="F31" i="47"/>
  <c r="E31" i="40"/>
  <c r="F28" i="39"/>
  <c r="F32" i="39" s="1"/>
  <c r="F28" i="40"/>
  <c r="F30" i="40" s="1"/>
  <c r="G31" i="42"/>
  <c r="B28" i="43"/>
  <c r="B30" i="43" s="1"/>
  <c r="G28" i="46"/>
  <c r="G29" i="46" s="1"/>
  <c r="G31" i="47"/>
  <c r="G28" i="39"/>
  <c r="G29" i="39" s="1"/>
  <c r="G31" i="40"/>
  <c r="B28" i="41"/>
  <c r="B32" i="41" s="1"/>
  <c r="C28" i="41"/>
  <c r="C32" i="41" s="1"/>
  <c r="E30" i="45"/>
  <c r="E29" i="45"/>
  <c r="E33" i="45" s="1"/>
  <c r="F32" i="45"/>
  <c r="F30" i="39"/>
  <c r="B29" i="42"/>
  <c r="B32" i="42"/>
  <c r="B30" i="42"/>
  <c r="G32" i="45"/>
  <c r="G30" i="45"/>
  <c r="G29" i="45"/>
  <c r="B29" i="45"/>
  <c r="C32" i="45"/>
  <c r="B31" i="45"/>
  <c r="B28" i="47"/>
  <c r="F31" i="40"/>
  <c r="C28" i="46"/>
  <c r="D30" i="44"/>
  <c r="C31" i="45"/>
  <c r="C28" i="47"/>
  <c r="D31" i="45"/>
  <c r="D28" i="47"/>
  <c r="E28" i="40"/>
  <c r="B31" i="41"/>
  <c r="E28" i="42"/>
  <c r="B31" i="43"/>
  <c r="B28" i="44"/>
  <c r="B31" i="46"/>
  <c r="E28" i="47"/>
  <c r="F28" i="42"/>
  <c r="F28" i="47"/>
  <c r="G28" i="40"/>
  <c r="G28" i="42"/>
  <c r="D31" i="46"/>
  <c r="G28" i="47"/>
  <c r="E28" i="44"/>
  <c r="D29" i="44"/>
  <c r="C29" i="44" l="1"/>
  <c r="C30" i="44"/>
  <c r="E32" i="46"/>
  <c r="C29" i="45"/>
  <c r="E29" i="46"/>
  <c r="F29" i="40"/>
  <c r="B30" i="45"/>
  <c r="C30" i="40"/>
  <c r="C33" i="40" s="1"/>
  <c r="B29" i="46"/>
  <c r="F30" i="46"/>
  <c r="F33" i="46" s="1"/>
  <c r="B30" i="46"/>
  <c r="F32" i="46"/>
  <c r="D29" i="46"/>
  <c r="D30" i="46"/>
  <c r="D29" i="45"/>
  <c r="D33" i="45" s="1"/>
  <c r="F30" i="45"/>
  <c r="F33" i="45" s="1"/>
  <c r="D32" i="45"/>
  <c r="B32" i="43"/>
  <c r="F32" i="40"/>
  <c r="C29" i="42"/>
  <c r="C33" i="42" s="1"/>
  <c r="C32" i="42"/>
  <c r="D29" i="40"/>
  <c r="B30" i="40"/>
  <c r="B33" i="40" s="1"/>
  <c r="D29" i="39"/>
  <c r="D30" i="42"/>
  <c r="D33" i="42" s="1"/>
  <c r="B29" i="39"/>
  <c r="D32" i="42"/>
  <c r="D30" i="40"/>
  <c r="B29" i="43"/>
  <c r="B33" i="43" s="1"/>
  <c r="G30" i="46"/>
  <c r="G33" i="46" s="1"/>
  <c r="C32" i="40"/>
  <c r="B33" i="45"/>
  <c r="F29" i="39"/>
  <c r="F33" i="39" s="1"/>
  <c r="G33" i="45"/>
  <c r="B30" i="41"/>
  <c r="C29" i="43"/>
  <c r="E30" i="39"/>
  <c r="E33" i="39" s="1"/>
  <c r="B29" i="41"/>
  <c r="C30" i="43"/>
  <c r="C33" i="43" s="1"/>
  <c r="G30" i="39"/>
  <c r="G33" i="39" s="1"/>
  <c r="C30" i="41"/>
  <c r="G32" i="39"/>
  <c r="E32" i="39"/>
  <c r="B32" i="40"/>
  <c r="C29" i="41"/>
  <c r="G32" i="46"/>
  <c r="D30" i="39"/>
  <c r="D33" i="39" s="1"/>
  <c r="C30" i="39"/>
  <c r="B30" i="39"/>
  <c r="B33" i="39" s="1"/>
  <c r="C29" i="39"/>
  <c r="F29" i="47"/>
  <c r="F32" i="47"/>
  <c r="F30" i="47"/>
  <c r="B29" i="47"/>
  <c r="B32" i="47"/>
  <c r="B30" i="47"/>
  <c r="F29" i="42"/>
  <c r="F30" i="42"/>
  <c r="F32" i="42"/>
  <c r="C29" i="47"/>
  <c r="C32" i="47"/>
  <c r="C30" i="47"/>
  <c r="E33" i="46"/>
  <c r="E29" i="47"/>
  <c r="E32" i="47"/>
  <c r="E30" i="47"/>
  <c r="F33" i="40"/>
  <c r="E32" i="44"/>
  <c r="E30" i="44"/>
  <c r="E29" i="44"/>
  <c r="E33" i="44" s="1"/>
  <c r="C33" i="45"/>
  <c r="E29" i="42"/>
  <c r="E32" i="42"/>
  <c r="E30" i="42"/>
  <c r="C33" i="44"/>
  <c r="G29" i="47"/>
  <c r="G32" i="47"/>
  <c r="G30" i="47"/>
  <c r="E29" i="40"/>
  <c r="E32" i="40"/>
  <c r="E30" i="40"/>
  <c r="D33" i="46"/>
  <c r="B30" i="44"/>
  <c r="B32" i="44"/>
  <c r="B29" i="44"/>
  <c r="B33" i="44" s="1"/>
  <c r="G29" i="42"/>
  <c r="G32" i="42"/>
  <c r="G30" i="42"/>
  <c r="D29" i="47"/>
  <c r="D32" i="47"/>
  <c r="D30" i="47"/>
  <c r="D33" i="44"/>
  <c r="G29" i="40"/>
  <c r="G32" i="40"/>
  <c r="G30" i="40"/>
  <c r="C29" i="46"/>
  <c r="C32" i="46"/>
  <c r="C30" i="46"/>
  <c r="B33" i="42"/>
  <c r="B33" i="41" l="1"/>
  <c r="C33" i="47"/>
  <c r="C33" i="41"/>
  <c r="B33" i="46"/>
  <c r="D33" i="40"/>
  <c r="F33" i="42"/>
  <c r="G33" i="40"/>
  <c r="C33" i="39"/>
  <c r="G33" i="47"/>
  <c r="E33" i="40"/>
  <c r="E33" i="47"/>
  <c r="B33" i="47"/>
  <c r="C33" i="46"/>
  <c r="D33" i="47"/>
  <c r="G33" i="42"/>
  <c r="E33" i="42"/>
  <c r="F33" i="47"/>
  <c r="C106" i="33" l="1"/>
  <c r="C201" i="33"/>
  <c r="C202" i="33"/>
  <c r="C199" i="33"/>
  <c r="C246" i="33"/>
  <c r="C233" i="33"/>
  <c r="C199" i="32"/>
  <c r="C313" i="32" s="1"/>
  <c r="C305" i="13"/>
  <c r="C255" i="32"/>
  <c r="C263" i="32" s="1"/>
  <c r="C284" i="32"/>
  <c r="C296" i="32" s="1"/>
  <c r="C254" i="32"/>
  <c r="C262" i="32" s="1"/>
  <c r="C253" i="32"/>
  <c r="C261" i="32" s="1"/>
  <c r="C260" i="33"/>
  <c r="C259" i="33"/>
  <c r="C258" i="33"/>
  <c r="C257" i="33"/>
  <c r="C256" i="33"/>
  <c r="C244" i="33"/>
  <c r="C243" i="33"/>
  <c r="C341" i="32"/>
  <c r="C127" i="31"/>
  <c r="C361" i="32"/>
  <c r="C371" i="32" s="1"/>
  <c r="C145" i="32"/>
  <c r="C155" i="32" s="1"/>
  <c r="C174" i="31"/>
  <c r="C327" i="31"/>
  <c r="C646" i="13"/>
  <c r="C653" i="13" s="1"/>
  <c r="C480" i="13"/>
  <c r="C358" i="32"/>
  <c r="C367" i="32" s="1"/>
  <c r="C142" i="32"/>
  <c r="C151" i="32" s="1"/>
  <c r="C324" i="31"/>
  <c r="C333" i="31" s="1"/>
  <c r="C171" i="31"/>
  <c r="C180" i="31" s="1"/>
  <c r="C643" i="13"/>
  <c r="C652" i="13" s="1"/>
  <c r="C477" i="13"/>
  <c r="C486" i="13" s="1"/>
  <c r="C301" i="32"/>
  <c r="C390" i="32"/>
  <c r="C372" i="32"/>
  <c r="C156" i="32"/>
  <c r="C125" i="32"/>
  <c r="C335" i="31"/>
  <c r="C305" i="31"/>
  <c r="C185" i="31"/>
  <c r="C149" i="31"/>
  <c r="C654" i="13"/>
  <c r="C379" i="13"/>
  <c r="C490" i="13"/>
  <c r="D279" i="32"/>
  <c r="D59" i="32"/>
  <c r="D73" i="31"/>
  <c r="C21" i="32"/>
  <c r="C168" i="32" s="1"/>
  <c r="C352" i="32"/>
  <c r="C136" i="32"/>
  <c r="C232" i="31"/>
  <c r="C319" i="31" s="1"/>
  <c r="C13" i="31"/>
  <c r="C166" i="31" s="1"/>
  <c r="C558" i="13"/>
  <c r="C613" i="13" s="1"/>
  <c r="C287" i="13"/>
  <c r="C341" i="13" s="1"/>
  <c r="C389" i="32"/>
  <c r="C229" i="32" s="1"/>
  <c r="C298" i="32"/>
  <c r="C252" i="32"/>
  <c r="C171" i="32"/>
  <c r="C44" i="32" s="1"/>
  <c r="C387" i="32"/>
  <c r="C228" i="32" s="1"/>
  <c r="C165" i="31"/>
  <c r="C103" i="32"/>
  <c r="C152" i="32" s="1"/>
  <c r="C93" i="32"/>
  <c r="C64" i="32"/>
  <c r="C74" i="32" s="1"/>
  <c r="C178" i="32"/>
  <c r="C173" i="32"/>
  <c r="C180" i="32" s="1"/>
  <c r="C167" i="32"/>
  <c r="C174" i="32"/>
  <c r="C179" i="32" s="1"/>
  <c r="C147" i="32"/>
  <c r="C146" i="32"/>
  <c r="C141" i="32"/>
  <c r="C124" i="32"/>
  <c r="C122" i="32"/>
  <c r="C119" i="32"/>
  <c r="C334" i="32"/>
  <c r="C118" i="32"/>
  <c r="C105" i="32"/>
  <c r="C123" i="32" s="1"/>
  <c r="C104" i="32"/>
  <c r="C102" i="32"/>
  <c r="C153" i="32" s="1"/>
  <c r="C100" i="32"/>
  <c r="C121" i="32" s="1"/>
  <c r="C98" i="32"/>
  <c r="C99" i="32" s="1"/>
  <c r="C97" i="32"/>
  <c r="C120" i="32" s="1"/>
  <c r="C94" i="32"/>
  <c r="C312" i="32"/>
  <c r="C91" i="32"/>
  <c r="C318" i="32"/>
  <c r="C86" i="32"/>
  <c r="C92" i="32"/>
  <c r="C117" i="32" s="1"/>
  <c r="C73" i="32"/>
  <c r="C87" i="31"/>
  <c r="C72" i="32"/>
  <c r="C71" i="32"/>
  <c r="C57" i="32"/>
  <c r="C66" i="32"/>
  <c r="C75" i="32" s="1"/>
  <c r="C62" i="32"/>
  <c r="C68" i="31"/>
  <c r="C34" i="32"/>
  <c r="C38" i="32"/>
  <c r="C46" i="32" s="1"/>
  <c r="C39" i="32"/>
  <c r="C45" i="32" s="1"/>
  <c r="C222" i="32"/>
  <c r="C231" i="32" s="1"/>
  <c r="C383" i="32"/>
  <c r="C392" i="32"/>
  <c r="C397" i="32" s="1"/>
  <c r="C391" i="32"/>
  <c r="C398" i="32" s="1"/>
  <c r="C218" i="32"/>
  <c r="C396" i="32"/>
  <c r="C363" i="32"/>
  <c r="C362" i="32"/>
  <c r="C357" i="32"/>
  <c r="D111" i="31"/>
  <c r="D314" i="32" s="1"/>
  <c r="C340" i="32"/>
  <c r="C335" i="32"/>
  <c r="C324" i="32"/>
  <c r="C323" i="32"/>
  <c r="C368" i="32" s="1"/>
  <c r="C322" i="32"/>
  <c r="C369" i="32" s="1"/>
  <c r="C325" i="32"/>
  <c r="C339" i="32" s="1"/>
  <c r="C321" i="32"/>
  <c r="C337" i="32" s="1"/>
  <c r="C317" i="32"/>
  <c r="C297" i="32"/>
  <c r="C289" i="32"/>
  <c r="C290" i="32"/>
  <c r="C288" i="32"/>
  <c r="C286" i="32"/>
  <c r="C291" i="32"/>
  <c r="C299" i="32" s="1"/>
  <c r="C292" i="32"/>
  <c r="C300" i="32" s="1"/>
  <c r="C282" i="32"/>
  <c r="C277" i="32"/>
  <c r="C231" i="33"/>
  <c r="C232" i="33"/>
  <c r="C220" i="33"/>
  <c r="C219" i="33"/>
  <c r="C218" i="33"/>
  <c r="C217" i="33"/>
  <c r="C256" i="32"/>
  <c r="C264" i="32" s="1"/>
  <c r="C248" i="32"/>
  <c r="C257" i="32"/>
  <c r="C265" i="32" s="1"/>
  <c r="C223" i="32"/>
  <c r="C230" i="32" s="1"/>
  <c r="C683" i="13"/>
  <c r="C682" i="13"/>
  <c r="C591" i="13"/>
  <c r="C590" i="13"/>
  <c r="G684" i="13"/>
  <c r="C684" i="13"/>
  <c r="C689" i="13" s="1"/>
  <c r="C681" i="13"/>
  <c r="C688" i="13" s="1"/>
  <c r="C676" i="13"/>
  <c r="C648" i="13"/>
  <c r="C647" i="13"/>
  <c r="C642" i="13"/>
  <c r="C637" i="13"/>
  <c r="C612" i="13"/>
  <c r="C625" i="13"/>
  <c r="C623" i="13"/>
  <c r="C617" i="13"/>
  <c r="C616" i="13"/>
  <c r="G610" i="13"/>
  <c r="C586" i="13"/>
  <c r="C592" i="13" s="1"/>
  <c r="C585" i="13"/>
  <c r="C626" i="13" s="1"/>
  <c r="G583" i="13"/>
  <c r="C582" i="13"/>
  <c r="C593" i="13" s="1"/>
  <c r="C577" i="13"/>
  <c r="G520" i="13"/>
  <c r="C520" i="13"/>
  <c r="C525" i="13" s="1"/>
  <c r="C519" i="13"/>
  <c r="C524" i="13" s="1"/>
  <c r="C514" i="13"/>
  <c r="C482" i="13"/>
  <c r="C481" i="13"/>
  <c r="C329" i="31"/>
  <c r="C328" i="31"/>
  <c r="C176" i="31"/>
  <c r="C175" i="31"/>
  <c r="C489" i="13"/>
  <c r="C476" i="13"/>
  <c r="C472" i="13"/>
  <c r="C340" i="13"/>
  <c r="C373" i="13"/>
  <c r="C372" i="13"/>
  <c r="C371" i="13"/>
  <c r="G369" i="13"/>
  <c r="C359" i="13"/>
  <c r="C377" i="13" s="1"/>
  <c r="C358" i="13"/>
  <c r="C487" i="13" s="1"/>
  <c r="C357" i="13"/>
  <c r="C488" i="13" s="1"/>
  <c r="C355" i="13"/>
  <c r="C375" i="13" s="1"/>
  <c r="C354" i="13"/>
  <c r="C122" i="31"/>
  <c r="C352" i="13"/>
  <c r="C374" i="13" s="1"/>
  <c r="C351" i="13"/>
  <c r="C349" i="13"/>
  <c r="C348" i="13"/>
  <c r="C347" i="13"/>
  <c r="C370" i="13" s="1"/>
  <c r="C346" i="13"/>
  <c r="C320" i="13"/>
  <c r="C319" i="13"/>
  <c r="C53" i="31"/>
  <c r="C314" i="13"/>
  <c r="C321" i="13" s="1"/>
  <c r="C313" i="13"/>
  <c r="C378" i="13" s="1"/>
  <c r="C310" i="13"/>
  <c r="C322" i="13" s="1"/>
  <c r="C87" i="32" l="1"/>
  <c r="C58" i="32"/>
  <c r="C202" i="31"/>
  <c r="C354" i="31"/>
  <c r="C43" i="31"/>
  <c r="C638" i="13"/>
  <c r="C677" i="13"/>
  <c r="C578" i="13"/>
  <c r="C137" i="32"/>
  <c r="C249" i="32"/>
  <c r="C384" i="32"/>
  <c r="C219" i="32"/>
  <c r="C353" i="32"/>
  <c r="C35" i="32"/>
  <c r="C278" i="32"/>
  <c r="C72" i="31"/>
  <c r="C253" i="31"/>
  <c r="C110" i="31"/>
  <c r="C279" i="31"/>
  <c r="C515" i="13"/>
  <c r="C473" i="13"/>
  <c r="C306" i="13"/>
  <c r="D88" i="32"/>
  <c r="C154" i="32"/>
  <c r="C370" i="32"/>
  <c r="C353" i="31"/>
  <c r="C318" i="31"/>
  <c r="C109" i="31"/>
  <c r="C278" i="31"/>
  <c r="C252" i="31"/>
  <c r="C201" i="31"/>
  <c r="C71" i="31"/>
  <c r="C42" i="31"/>
  <c r="C323" i="31"/>
  <c r="C283" i="31"/>
  <c r="C114" i="31"/>
  <c r="C170" i="31"/>
  <c r="C76" i="31"/>
  <c r="C363" i="31"/>
  <c r="C357" i="31"/>
  <c r="G358" i="31"/>
  <c r="C358" i="31"/>
  <c r="C364" i="31" s="1"/>
  <c r="C334" i="31"/>
  <c r="C304" i="31"/>
  <c r="C288" i="31"/>
  <c r="C303" i="31"/>
  <c r="C287" i="31"/>
  <c r="C302" i="31"/>
  <c r="C285" i="31"/>
  <c r="C284" i="31"/>
  <c r="C265" i="31"/>
  <c r="C264" i="31"/>
  <c r="C258" i="31"/>
  <c r="C257" i="31"/>
  <c r="C207" i="31"/>
  <c r="C212" i="31" s="1"/>
  <c r="C80" i="31"/>
  <c r="C89" i="31" s="1"/>
  <c r="C47" i="31"/>
  <c r="C52" i="31" s="1"/>
  <c r="C211" i="31"/>
  <c r="C206" i="31"/>
  <c r="C78" i="31"/>
  <c r="C88" i="31" s="1"/>
  <c r="C46" i="31"/>
  <c r="C148" i="31"/>
  <c r="C183" i="31" s="1"/>
  <c r="C126" i="31"/>
  <c r="C181" i="31" s="1"/>
  <c r="C184" i="31"/>
  <c r="O175" i="31"/>
  <c r="C143" i="31"/>
  <c r="C115" i="31"/>
  <c r="C140" i="31" s="1"/>
  <c r="C117" i="31"/>
  <c r="C116" i="31"/>
  <c r="C142" i="31"/>
  <c r="C141" i="31"/>
  <c r="C128" i="31"/>
  <c r="C147" i="31" s="1"/>
  <c r="C125" i="31"/>
  <c r="C182" i="31" s="1"/>
  <c r="C208" i="33"/>
  <c r="C200" i="33"/>
  <c r="C123" i="31"/>
  <c r="C145" i="31" s="1"/>
  <c r="C120" i="31"/>
  <c r="C144" i="31" s="1"/>
  <c r="C119" i="31"/>
  <c r="C85" i="31"/>
  <c r="C153" i="33"/>
  <c r="C152" i="33"/>
  <c r="C133" i="33"/>
  <c r="C132" i="33"/>
  <c r="C125" i="33"/>
  <c r="C124" i="33"/>
  <c r="C122" i="33"/>
  <c r="C120" i="33"/>
  <c r="C121" i="33"/>
  <c r="C119" i="33"/>
  <c r="C113" i="33"/>
  <c r="C112" i="33"/>
  <c r="C107" i="33"/>
  <c r="C105" i="33"/>
  <c r="C103" i="33"/>
  <c r="C102" i="33"/>
  <c r="C101" i="33"/>
  <c r="C100" i="33"/>
  <c r="C99" i="33"/>
  <c r="C98" i="33"/>
  <c r="C85" i="33"/>
  <c r="C84" i="33"/>
  <c r="C83" i="33"/>
  <c r="C82" i="33"/>
  <c r="C81" i="33"/>
  <c r="C80" i="33"/>
  <c r="C79" i="33"/>
  <c r="C110" i="33" l="1"/>
  <c r="D104" i="33"/>
  <c r="C298" i="31"/>
  <c r="C131" i="33"/>
  <c r="C130" i="33"/>
  <c r="G359" i="31" l="1"/>
  <c r="G349" i="31"/>
  <c r="G332" i="31"/>
  <c r="G316" i="31"/>
  <c r="G260" i="31"/>
  <c r="G251" i="31"/>
  <c r="G250" i="31"/>
  <c r="G207" i="31"/>
  <c r="G179" i="31"/>
  <c r="G99" i="31"/>
  <c r="G97" i="31"/>
  <c r="G93" i="31"/>
  <c r="G682" i="13" l="1"/>
  <c r="G651" i="13"/>
  <c r="G635" i="13"/>
  <c r="G589" i="13"/>
  <c r="G588" i="13"/>
  <c r="G587" i="13"/>
  <c r="G576" i="13"/>
  <c r="G575" i="13"/>
  <c r="G277" i="31" l="1"/>
  <c r="G276" i="31"/>
  <c r="G244" i="31"/>
  <c r="G239" i="31"/>
  <c r="G226" i="31"/>
  <c r="G224" i="31"/>
  <c r="G221" i="31"/>
  <c r="G199" i="31"/>
  <c r="G163" i="31"/>
  <c r="G157" i="31"/>
  <c r="G151" i="31"/>
  <c r="G139" i="31"/>
  <c r="G136" i="31"/>
  <c r="G135" i="31"/>
  <c r="G108" i="31"/>
  <c r="G107" i="31"/>
  <c r="G94" i="31"/>
  <c r="G82" i="31"/>
  <c r="G70" i="31"/>
  <c r="G69" i="31"/>
  <c r="G64" i="31"/>
  <c r="G49" i="31"/>
  <c r="G41" i="31"/>
  <c r="G40" i="31"/>
  <c r="G24" i="31"/>
  <c r="G23" i="31"/>
  <c r="G6" i="31"/>
  <c r="G4" i="31"/>
  <c r="G565" i="13"/>
  <c r="G552" i="13"/>
  <c r="G550" i="13"/>
  <c r="G294" i="13"/>
  <c r="G282" i="13"/>
  <c r="G280" i="13"/>
  <c r="G259" i="13"/>
  <c r="G52" i="13"/>
  <c r="G53" i="13"/>
  <c r="G117" i="13"/>
  <c r="G118" i="13"/>
  <c r="G155" i="13"/>
  <c r="G156" i="13"/>
  <c r="G200" i="13"/>
  <c r="G243" i="13"/>
  <c r="G630" i="13"/>
  <c r="G620" i="13"/>
  <c r="G569" i="13"/>
  <c r="G545" i="13"/>
  <c r="G521" i="13"/>
  <c r="G505" i="13"/>
  <c r="G464" i="13"/>
  <c r="G446" i="13"/>
  <c r="G420" i="13"/>
  <c r="G406" i="13"/>
  <c r="G338" i="13"/>
  <c r="G311" i="13"/>
  <c r="G277" i="13"/>
  <c r="G238" i="13"/>
  <c r="G218" i="13"/>
  <c r="G194" i="13"/>
  <c r="G177" i="13"/>
  <c r="G150" i="13"/>
  <c r="G135" i="13"/>
  <c r="G112" i="13"/>
  <c r="G98" i="13"/>
  <c r="G672" i="13" l="1"/>
  <c r="G621" i="13"/>
  <c r="G609" i="13"/>
  <c r="G511" i="13" l="1"/>
  <c r="G485" i="13"/>
  <c r="G470" i="13"/>
  <c r="G455" i="13"/>
  <c r="G454" i="13"/>
  <c r="G452" i="13"/>
  <c r="G450" i="13"/>
  <c r="G449" i="13"/>
  <c r="G448" i="13"/>
  <c r="G428" i="13"/>
  <c r="G427" i="13"/>
  <c r="G426" i="13"/>
  <c r="G425" i="13"/>
  <c r="G424" i="13"/>
  <c r="G410" i="13"/>
  <c r="G408" i="13"/>
  <c r="G393" i="13"/>
  <c r="G392" i="13"/>
  <c r="G365" i="13"/>
  <c r="G318" i="13"/>
  <c r="G317" i="13"/>
  <c r="G316" i="13"/>
  <c r="G304" i="13"/>
  <c r="G303" i="13"/>
  <c r="G221" i="13"/>
  <c r="G299" i="13"/>
  <c r="G123" i="13" l="1"/>
  <c r="G121" i="13"/>
  <c r="G157" i="13" l="1"/>
  <c r="G158" i="13"/>
  <c r="G159" i="13"/>
  <c r="G179" i="13"/>
  <c r="G180" i="13"/>
  <c r="G181" i="13"/>
  <c r="G183" i="13"/>
  <c r="G185" i="13"/>
  <c r="G195" i="13"/>
  <c r="G119" i="13"/>
  <c r="G126" i="13"/>
  <c r="G151" i="13"/>
  <c r="G83" i="13"/>
  <c r="G84" i="13"/>
  <c r="G85" i="13"/>
  <c r="G87" i="13"/>
  <c r="G88" i="13"/>
  <c r="G99" i="13"/>
  <c r="G113" i="13"/>
  <c r="G82" i="13"/>
  <c r="G54" i="13"/>
  <c r="G55" i="13"/>
  <c r="G56" i="13"/>
  <c r="G66" i="13"/>
  <c r="G67" i="13"/>
  <c r="G68" i="13"/>
  <c r="G69" i="13"/>
  <c r="G78" i="13"/>
  <c r="G24" i="13" l="1"/>
  <c r="G4" i="13" l="1"/>
  <c r="G6" i="13"/>
  <c r="G18" i="13"/>
  <c r="G19" i="13"/>
  <c r="G23"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Nühlen, Jochen</author>
  </authors>
  <commentList>
    <comment ref="F3" authorId="0" shapeId="0" xr:uid="{00000000-0006-0000-0200-000001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3" authorId="0" shapeId="0" xr:uid="{00000000-0006-0000-0200-000002000000}">
      <text>
        <r>
          <rPr>
            <b/>
            <sz val="9"/>
            <color indexed="81"/>
            <rFont val="Tahoma"/>
            <family val="2"/>
          </rPr>
          <t>Nühlen, Jochen:</t>
        </r>
        <r>
          <rPr>
            <sz val="9"/>
            <color indexed="81"/>
            <rFont val="Tahoma"/>
            <family val="2"/>
          </rPr>
          <t xml:space="preserve">
Dient der Qualitätssicherung und Auswertung, wird automatisch berechnet</t>
        </r>
      </text>
    </comment>
    <comment ref="H3" authorId="0" shapeId="0" xr:uid="{00000000-0006-0000-0200-000003000000}">
      <text>
        <r>
          <rPr>
            <b/>
            <sz val="9"/>
            <color indexed="81"/>
            <rFont val="Tahoma"/>
            <family val="2"/>
          </rPr>
          <t>Nühlen, Jochen:</t>
        </r>
        <r>
          <rPr>
            <sz val="9"/>
            <color indexed="81"/>
            <rFont val="Tahoma"/>
            <family val="2"/>
          </rPr>
          <t xml:space="preserve">
Bitte Ausfüllen mit Bezug auf die Antwort in Spalte C</t>
        </r>
      </text>
    </comment>
    <comment ref="F20" authorId="0" shapeId="0" xr:uid="{00000000-0006-0000-0200-000004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20" authorId="0" shapeId="0" xr:uid="{00000000-0006-0000-0200-000005000000}">
      <text>
        <r>
          <rPr>
            <b/>
            <sz val="9"/>
            <color indexed="81"/>
            <rFont val="Tahoma"/>
            <family val="2"/>
          </rPr>
          <t>Nühlen, Jochen:</t>
        </r>
        <r>
          <rPr>
            <sz val="9"/>
            <color indexed="81"/>
            <rFont val="Tahoma"/>
            <family val="2"/>
          </rPr>
          <t xml:space="preserve">
Dient der Qualitätssicherung und Auswertung, wird automatisch berechnet</t>
        </r>
      </text>
    </comment>
    <comment ref="H20" authorId="0" shapeId="0" xr:uid="{00000000-0006-0000-0200-000006000000}">
      <text>
        <r>
          <rPr>
            <b/>
            <sz val="9"/>
            <color indexed="81"/>
            <rFont val="Tahoma"/>
            <family val="2"/>
          </rPr>
          <t>Nühlen, Jochen:</t>
        </r>
        <r>
          <rPr>
            <sz val="9"/>
            <color indexed="81"/>
            <rFont val="Tahoma"/>
            <family val="2"/>
          </rPr>
          <t xml:space="preserve">
Bitte Ausfüllen mit Bezug auf die Antwort in Spalte C</t>
        </r>
      </text>
    </comment>
    <comment ref="F49" authorId="0" shapeId="0" xr:uid="{00000000-0006-0000-0200-000007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49" authorId="0" shapeId="0" xr:uid="{00000000-0006-0000-0200-000008000000}">
      <text>
        <r>
          <rPr>
            <b/>
            <sz val="9"/>
            <color indexed="81"/>
            <rFont val="Tahoma"/>
            <family val="2"/>
          </rPr>
          <t>Nühlen, Jochen:</t>
        </r>
        <r>
          <rPr>
            <sz val="9"/>
            <color indexed="81"/>
            <rFont val="Tahoma"/>
            <family val="2"/>
          </rPr>
          <t xml:space="preserve">
Dient der Qualitätssicherung und Auswertung, wird automatisch berechnet</t>
        </r>
      </text>
    </comment>
    <comment ref="H49" authorId="0" shapeId="0" xr:uid="{00000000-0006-0000-0200-000009000000}">
      <text>
        <r>
          <rPr>
            <b/>
            <sz val="9"/>
            <color indexed="81"/>
            <rFont val="Tahoma"/>
            <family val="2"/>
          </rPr>
          <t>Nühlen, Jochen:</t>
        </r>
        <r>
          <rPr>
            <sz val="9"/>
            <color indexed="81"/>
            <rFont val="Tahoma"/>
            <family val="2"/>
          </rPr>
          <t xml:space="preserve">
Bitte Ausfüllen mit Bezug auf die Antwort in Spalte C</t>
        </r>
      </text>
    </comment>
    <comment ref="F79" authorId="0" shapeId="0" xr:uid="{00000000-0006-0000-0200-00000A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79" authorId="0" shapeId="0" xr:uid="{00000000-0006-0000-0200-00000B000000}">
      <text>
        <r>
          <rPr>
            <b/>
            <sz val="9"/>
            <color indexed="81"/>
            <rFont val="Tahoma"/>
            <family val="2"/>
          </rPr>
          <t>Nühlen, Jochen:</t>
        </r>
        <r>
          <rPr>
            <sz val="9"/>
            <color indexed="81"/>
            <rFont val="Tahoma"/>
            <family val="2"/>
          </rPr>
          <t xml:space="preserve">
Dient der Qualitätssicherung und Auswertung, wird automatisch berechnet</t>
        </r>
      </text>
    </comment>
    <comment ref="H79" authorId="0" shapeId="0" xr:uid="{00000000-0006-0000-0200-00000C000000}">
      <text>
        <r>
          <rPr>
            <b/>
            <sz val="9"/>
            <color indexed="81"/>
            <rFont val="Tahoma"/>
            <family val="2"/>
          </rPr>
          <t>Nühlen, Jochen:</t>
        </r>
        <r>
          <rPr>
            <sz val="9"/>
            <color indexed="81"/>
            <rFont val="Tahoma"/>
            <family val="2"/>
          </rPr>
          <t xml:space="preserve">
Bitte Ausfüllen mit Bezug auf die Antwort in Spalte C</t>
        </r>
      </text>
    </comment>
    <comment ref="F114" authorId="0" shapeId="0" xr:uid="{00000000-0006-0000-0200-00000D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114" authorId="0" shapeId="0" xr:uid="{00000000-0006-0000-0200-00000E000000}">
      <text>
        <r>
          <rPr>
            <b/>
            <sz val="9"/>
            <color indexed="81"/>
            <rFont val="Tahoma"/>
            <family val="2"/>
          </rPr>
          <t>Nühlen, Jochen:</t>
        </r>
        <r>
          <rPr>
            <sz val="9"/>
            <color indexed="81"/>
            <rFont val="Tahoma"/>
            <family val="2"/>
          </rPr>
          <t xml:space="preserve">
Dient der Qualitätssicherung und Auswertung, wird automatisch berechnet</t>
        </r>
      </text>
    </comment>
    <comment ref="H114" authorId="0" shapeId="0" xr:uid="{00000000-0006-0000-0200-00000F000000}">
      <text>
        <r>
          <rPr>
            <b/>
            <sz val="9"/>
            <color indexed="81"/>
            <rFont val="Tahoma"/>
            <family val="2"/>
          </rPr>
          <t>Nühlen, Jochen:</t>
        </r>
        <r>
          <rPr>
            <sz val="9"/>
            <color indexed="81"/>
            <rFont val="Tahoma"/>
            <family val="2"/>
          </rPr>
          <t xml:space="preserve">
Bitte Ausfüllen mit Bezug auf die Antwort in Spalte C</t>
        </r>
      </text>
    </comment>
    <comment ref="F152" authorId="0" shapeId="0" xr:uid="{00000000-0006-0000-0200-000010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152" authorId="0" shapeId="0" xr:uid="{00000000-0006-0000-0200-000011000000}">
      <text>
        <r>
          <rPr>
            <b/>
            <sz val="9"/>
            <color indexed="81"/>
            <rFont val="Tahoma"/>
            <family val="2"/>
          </rPr>
          <t>Nühlen, Jochen:</t>
        </r>
        <r>
          <rPr>
            <sz val="9"/>
            <color indexed="81"/>
            <rFont val="Tahoma"/>
            <family val="2"/>
          </rPr>
          <t xml:space="preserve">
Dient der Qualitätssicherung und Auswertung, wird automatisch berechnet</t>
        </r>
      </text>
    </comment>
    <comment ref="H152" authorId="0" shapeId="0" xr:uid="{00000000-0006-0000-0200-000012000000}">
      <text>
        <r>
          <rPr>
            <b/>
            <sz val="9"/>
            <color indexed="81"/>
            <rFont val="Tahoma"/>
            <family val="2"/>
          </rPr>
          <t>Nühlen, Jochen:</t>
        </r>
        <r>
          <rPr>
            <sz val="9"/>
            <color indexed="81"/>
            <rFont val="Tahoma"/>
            <family val="2"/>
          </rPr>
          <t xml:space="preserve">
Bitte Ausfüllen mit Bezug auf die Antwort in Spalte C</t>
        </r>
      </text>
    </comment>
    <comment ref="F197" authorId="0" shapeId="0" xr:uid="{00000000-0006-0000-0200-000013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197" authorId="0" shapeId="0" xr:uid="{00000000-0006-0000-0200-000014000000}">
      <text>
        <r>
          <rPr>
            <b/>
            <sz val="9"/>
            <color indexed="81"/>
            <rFont val="Tahoma"/>
            <family val="2"/>
          </rPr>
          <t>Nühlen, Jochen:</t>
        </r>
        <r>
          <rPr>
            <sz val="9"/>
            <color indexed="81"/>
            <rFont val="Tahoma"/>
            <family val="2"/>
          </rPr>
          <t xml:space="preserve">
Dient der Qualitätssicherung und Auswertung, wird automatisch berechnet</t>
        </r>
      </text>
    </comment>
    <comment ref="H197" authorId="0" shapeId="0" xr:uid="{00000000-0006-0000-0200-000015000000}">
      <text>
        <r>
          <rPr>
            <b/>
            <sz val="9"/>
            <color indexed="81"/>
            <rFont val="Tahoma"/>
            <family val="2"/>
          </rPr>
          <t>Nühlen, Jochen:</t>
        </r>
        <r>
          <rPr>
            <sz val="9"/>
            <color indexed="81"/>
            <rFont val="Tahoma"/>
            <family val="2"/>
          </rPr>
          <t xml:space="preserve">
Bitte Ausfüllen mit Bezug auf die Antwort in Spalte C</t>
        </r>
      </text>
    </comment>
    <comment ref="F240" authorId="0" shapeId="0" xr:uid="{00000000-0006-0000-0200-000016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240" authorId="0" shapeId="0" xr:uid="{00000000-0006-0000-0200-000017000000}">
      <text>
        <r>
          <rPr>
            <b/>
            <sz val="9"/>
            <color indexed="81"/>
            <rFont val="Tahoma"/>
            <family val="2"/>
          </rPr>
          <t>Nühlen, Jochen:</t>
        </r>
        <r>
          <rPr>
            <sz val="9"/>
            <color indexed="81"/>
            <rFont val="Tahoma"/>
            <family val="2"/>
          </rPr>
          <t xml:space="preserve">
Dient der Qualitätssicherung und Auswertung, wird automatisch berechnet</t>
        </r>
      </text>
    </comment>
    <comment ref="H240" authorId="0" shapeId="0" xr:uid="{00000000-0006-0000-0200-000018000000}">
      <text>
        <r>
          <rPr>
            <b/>
            <sz val="9"/>
            <color indexed="81"/>
            <rFont val="Tahoma"/>
            <family val="2"/>
          </rPr>
          <t>Nühlen, Jochen:</t>
        </r>
        <r>
          <rPr>
            <sz val="9"/>
            <color indexed="81"/>
            <rFont val="Tahoma"/>
            <family val="2"/>
          </rPr>
          <t xml:space="preserve">
Bitte Ausfüllen mit Bezug auf die Antwort in Spalte C</t>
        </r>
      </text>
    </comment>
    <comment ref="F279" authorId="0" shapeId="0" xr:uid="{00000000-0006-0000-0200-000019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279" authorId="0" shapeId="0" xr:uid="{00000000-0006-0000-0200-00001A000000}">
      <text>
        <r>
          <rPr>
            <b/>
            <sz val="9"/>
            <color indexed="81"/>
            <rFont val="Tahoma"/>
            <family val="2"/>
          </rPr>
          <t>Nühlen, Jochen:</t>
        </r>
        <r>
          <rPr>
            <sz val="9"/>
            <color indexed="81"/>
            <rFont val="Tahoma"/>
            <family val="2"/>
          </rPr>
          <t xml:space="preserve">
Dient der Qualitätssicherung und Auswertung, wird automatisch berechnet</t>
        </r>
      </text>
    </comment>
    <comment ref="H279" authorId="0" shapeId="0" xr:uid="{00000000-0006-0000-0200-00001B000000}">
      <text>
        <r>
          <rPr>
            <b/>
            <sz val="9"/>
            <color indexed="81"/>
            <rFont val="Tahoma"/>
            <family val="2"/>
          </rPr>
          <t>Nühlen, Jochen:</t>
        </r>
        <r>
          <rPr>
            <sz val="9"/>
            <color indexed="81"/>
            <rFont val="Tahoma"/>
            <family val="2"/>
          </rPr>
          <t xml:space="preserve">
Bitte Ausfüllen mit Bezug auf die Antwort in Spalte C</t>
        </r>
      </text>
    </comment>
    <comment ref="F295" authorId="0" shapeId="0" xr:uid="{00000000-0006-0000-0200-00001C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295" authorId="0" shapeId="0" xr:uid="{00000000-0006-0000-0200-00001D000000}">
      <text>
        <r>
          <rPr>
            <b/>
            <sz val="9"/>
            <color indexed="81"/>
            <rFont val="Tahoma"/>
            <family val="2"/>
          </rPr>
          <t>Nühlen, Jochen:</t>
        </r>
        <r>
          <rPr>
            <sz val="9"/>
            <color indexed="81"/>
            <rFont val="Tahoma"/>
            <family val="2"/>
          </rPr>
          <t xml:space="preserve">
Dient der Qualitätssicherung und Auswertung, wird automatisch berechnet</t>
        </r>
      </text>
    </comment>
    <comment ref="H295" authorId="0" shapeId="0" xr:uid="{00000000-0006-0000-0200-00001E000000}">
      <text>
        <r>
          <rPr>
            <b/>
            <sz val="9"/>
            <color indexed="81"/>
            <rFont val="Tahoma"/>
            <family val="2"/>
          </rPr>
          <t>Nühlen, Jochen:</t>
        </r>
        <r>
          <rPr>
            <sz val="9"/>
            <color indexed="81"/>
            <rFont val="Tahoma"/>
            <family val="2"/>
          </rPr>
          <t xml:space="preserve">
Bitte Ausfüllen mit Bezug auf die Antwort in Spalte C</t>
        </r>
      </text>
    </comment>
    <comment ref="F300" authorId="0" shapeId="0" xr:uid="{00000000-0006-0000-0200-00001F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300" authorId="0" shapeId="0" xr:uid="{00000000-0006-0000-0200-000020000000}">
      <text>
        <r>
          <rPr>
            <b/>
            <sz val="9"/>
            <color indexed="81"/>
            <rFont val="Tahoma"/>
            <family val="2"/>
          </rPr>
          <t>Nühlen, Jochen:</t>
        </r>
        <r>
          <rPr>
            <sz val="9"/>
            <color indexed="81"/>
            <rFont val="Tahoma"/>
            <family val="2"/>
          </rPr>
          <t xml:space="preserve">
Dient der Qualitätssicherung und Auswertung, wird automatisch berechnet</t>
        </r>
      </text>
    </comment>
    <comment ref="H300" authorId="0" shapeId="0" xr:uid="{00000000-0006-0000-0200-000021000000}">
      <text>
        <r>
          <rPr>
            <b/>
            <sz val="9"/>
            <color indexed="81"/>
            <rFont val="Tahoma"/>
            <family val="2"/>
          </rPr>
          <t>Nühlen, Jochen:</t>
        </r>
        <r>
          <rPr>
            <sz val="9"/>
            <color indexed="81"/>
            <rFont val="Tahoma"/>
            <family val="2"/>
          </rPr>
          <t xml:space="preserve">
Bitte Ausfüllen mit Bezug auf die Antwort in Spalte C</t>
        </r>
      </text>
    </comment>
    <comment ref="F334" authorId="0" shapeId="0" xr:uid="{00000000-0006-0000-0200-000022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334" authorId="0" shapeId="0" xr:uid="{00000000-0006-0000-0200-000023000000}">
      <text>
        <r>
          <rPr>
            <b/>
            <sz val="9"/>
            <color indexed="81"/>
            <rFont val="Tahoma"/>
            <family val="2"/>
          </rPr>
          <t>Nühlen, Jochen:</t>
        </r>
        <r>
          <rPr>
            <sz val="9"/>
            <color indexed="81"/>
            <rFont val="Tahoma"/>
            <family val="2"/>
          </rPr>
          <t xml:space="preserve">
Dient der Qualitätssicherung und Auswertung, wird automatisch berechnet</t>
        </r>
      </text>
    </comment>
    <comment ref="H334" authorId="0" shapeId="0" xr:uid="{00000000-0006-0000-0200-000024000000}">
      <text>
        <r>
          <rPr>
            <b/>
            <sz val="9"/>
            <color indexed="81"/>
            <rFont val="Tahoma"/>
            <family val="2"/>
          </rPr>
          <t>Nühlen, Jochen:</t>
        </r>
        <r>
          <rPr>
            <sz val="9"/>
            <color indexed="81"/>
            <rFont val="Tahoma"/>
            <family val="2"/>
          </rPr>
          <t xml:space="preserve">
Bitte Ausfüllen mit Bezug auf die Antwort in Spalte C</t>
        </r>
      </text>
    </comment>
    <comment ref="F389" authorId="0" shapeId="0" xr:uid="{00000000-0006-0000-0200-000025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389" authorId="0" shapeId="0" xr:uid="{00000000-0006-0000-0200-000026000000}">
      <text>
        <r>
          <rPr>
            <b/>
            <sz val="9"/>
            <color indexed="81"/>
            <rFont val="Tahoma"/>
            <family val="2"/>
          </rPr>
          <t>Nühlen, Jochen:</t>
        </r>
        <r>
          <rPr>
            <sz val="9"/>
            <color indexed="81"/>
            <rFont val="Tahoma"/>
            <family val="2"/>
          </rPr>
          <t xml:space="preserve">
Dient der Qualitätssicherung und Auswertung, wird automatisch berechnet</t>
        </r>
      </text>
    </comment>
    <comment ref="H389" authorId="0" shapeId="0" xr:uid="{00000000-0006-0000-0200-000027000000}">
      <text>
        <r>
          <rPr>
            <b/>
            <sz val="9"/>
            <color indexed="81"/>
            <rFont val="Tahoma"/>
            <family val="2"/>
          </rPr>
          <t>Nühlen, Jochen:</t>
        </r>
        <r>
          <rPr>
            <sz val="9"/>
            <color indexed="81"/>
            <rFont val="Tahoma"/>
            <family val="2"/>
          </rPr>
          <t xml:space="preserve">
Bitte Ausfüllen mit Bezug auf die Antwort in Spalte C</t>
        </r>
      </text>
    </comment>
    <comment ref="F421" authorId="0" shapeId="0" xr:uid="{00000000-0006-0000-0200-000028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421" authorId="0" shapeId="0" xr:uid="{00000000-0006-0000-0200-000029000000}">
      <text>
        <r>
          <rPr>
            <b/>
            <sz val="9"/>
            <color indexed="81"/>
            <rFont val="Tahoma"/>
            <family val="2"/>
          </rPr>
          <t>Nühlen, Jochen:</t>
        </r>
        <r>
          <rPr>
            <sz val="9"/>
            <color indexed="81"/>
            <rFont val="Tahoma"/>
            <family val="2"/>
          </rPr>
          <t xml:space="preserve">
Dient der Qualitätssicherung und Auswertung, wird automatisch berechnet</t>
        </r>
      </text>
    </comment>
    <comment ref="H421" authorId="0" shapeId="0" xr:uid="{00000000-0006-0000-0200-00002A000000}">
      <text>
        <r>
          <rPr>
            <b/>
            <sz val="9"/>
            <color indexed="81"/>
            <rFont val="Tahoma"/>
            <family val="2"/>
          </rPr>
          <t>Nühlen, Jochen:</t>
        </r>
        <r>
          <rPr>
            <sz val="9"/>
            <color indexed="81"/>
            <rFont val="Tahoma"/>
            <family val="2"/>
          </rPr>
          <t xml:space="preserve">
Bitte Ausfüllen mit Bezug auf die Antwort in Spalte C</t>
        </r>
      </text>
    </comment>
    <comment ref="F466" authorId="0" shapeId="0" xr:uid="{00000000-0006-0000-0200-00002B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466" authorId="0" shapeId="0" xr:uid="{00000000-0006-0000-0200-00002C000000}">
      <text>
        <r>
          <rPr>
            <b/>
            <sz val="9"/>
            <color indexed="81"/>
            <rFont val="Tahoma"/>
            <family val="2"/>
          </rPr>
          <t>Nühlen, Jochen:</t>
        </r>
        <r>
          <rPr>
            <sz val="9"/>
            <color indexed="81"/>
            <rFont val="Tahoma"/>
            <family val="2"/>
          </rPr>
          <t xml:space="preserve">
Dient der Qualitätssicherung und Auswertung, wird automatisch berechnet</t>
        </r>
      </text>
    </comment>
    <comment ref="H466" authorId="0" shapeId="0" xr:uid="{00000000-0006-0000-0200-00002D000000}">
      <text>
        <r>
          <rPr>
            <b/>
            <sz val="9"/>
            <color indexed="81"/>
            <rFont val="Tahoma"/>
            <family val="2"/>
          </rPr>
          <t>Nühlen, Jochen:</t>
        </r>
        <r>
          <rPr>
            <sz val="9"/>
            <color indexed="81"/>
            <rFont val="Tahoma"/>
            <family val="2"/>
          </rPr>
          <t xml:space="preserve">
Bitte Ausfüllen mit Bezug auf die Antwort in Spalte C</t>
        </r>
      </text>
    </comment>
    <comment ref="F507" authorId="0" shapeId="0" xr:uid="{00000000-0006-0000-0200-00002E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507" authorId="0" shapeId="0" xr:uid="{00000000-0006-0000-0200-00002F000000}">
      <text>
        <r>
          <rPr>
            <b/>
            <sz val="9"/>
            <color indexed="81"/>
            <rFont val="Tahoma"/>
            <family val="2"/>
          </rPr>
          <t>Nühlen, Jochen:</t>
        </r>
        <r>
          <rPr>
            <sz val="9"/>
            <color indexed="81"/>
            <rFont val="Tahoma"/>
            <family val="2"/>
          </rPr>
          <t xml:space="preserve">
Dient der Qualitätssicherung und Auswertung, wird automatisch berechnet</t>
        </r>
      </text>
    </comment>
    <comment ref="H507" authorId="0" shapeId="0" xr:uid="{00000000-0006-0000-0200-000030000000}">
      <text>
        <r>
          <rPr>
            <b/>
            <sz val="9"/>
            <color indexed="81"/>
            <rFont val="Tahoma"/>
            <family val="2"/>
          </rPr>
          <t>Nühlen, Jochen:</t>
        </r>
        <r>
          <rPr>
            <sz val="9"/>
            <color indexed="81"/>
            <rFont val="Tahoma"/>
            <family val="2"/>
          </rPr>
          <t xml:space="preserve">
Bitte Ausfüllen mit Bezug auf die Antwort in Spalte C</t>
        </r>
      </text>
    </comment>
    <comment ref="F549" authorId="0" shapeId="0" xr:uid="{00000000-0006-0000-0200-000031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549" authorId="0" shapeId="0" xr:uid="{00000000-0006-0000-0200-000032000000}">
      <text>
        <r>
          <rPr>
            <b/>
            <sz val="9"/>
            <color indexed="81"/>
            <rFont val="Tahoma"/>
            <family val="2"/>
          </rPr>
          <t>Nühlen, Jochen:</t>
        </r>
        <r>
          <rPr>
            <sz val="9"/>
            <color indexed="81"/>
            <rFont val="Tahoma"/>
            <family val="2"/>
          </rPr>
          <t xml:space="preserve">
Dient der Qualitätssicherung und Auswertung, wird automatisch berechnet</t>
        </r>
      </text>
    </comment>
    <comment ref="H549" authorId="0" shapeId="0" xr:uid="{00000000-0006-0000-0200-000033000000}">
      <text>
        <r>
          <rPr>
            <b/>
            <sz val="9"/>
            <color indexed="81"/>
            <rFont val="Tahoma"/>
            <family val="2"/>
          </rPr>
          <t>Nühlen, Jochen:</t>
        </r>
        <r>
          <rPr>
            <sz val="9"/>
            <color indexed="81"/>
            <rFont val="Tahoma"/>
            <family val="2"/>
          </rPr>
          <t xml:space="preserve">
Bitte Ausfüllen mit Bezug auf die Antwort in Spalte C</t>
        </r>
      </text>
    </comment>
    <comment ref="F566" authorId="0" shapeId="0" xr:uid="{00000000-0006-0000-0200-000034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566" authorId="0" shapeId="0" xr:uid="{00000000-0006-0000-0200-000035000000}">
      <text>
        <r>
          <rPr>
            <b/>
            <sz val="9"/>
            <color indexed="81"/>
            <rFont val="Tahoma"/>
            <family val="2"/>
          </rPr>
          <t>Nühlen, Jochen:</t>
        </r>
        <r>
          <rPr>
            <sz val="9"/>
            <color indexed="81"/>
            <rFont val="Tahoma"/>
            <family val="2"/>
          </rPr>
          <t xml:space="preserve">
Dient der Qualitätssicherung und Auswertung, wird automatisch berechnet</t>
        </r>
      </text>
    </comment>
    <comment ref="H566" authorId="0" shapeId="0" xr:uid="{00000000-0006-0000-0200-000036000000}">
      <text>
        <r>
          <rPr>
            <b/>
            <sz val="9"/>
            <color indexed="81"/>
            <rFont val="Tahoma"/>
            <family val="2"/>
          </rPr>
          <t>Nühlen, Jochen:</t>
        </r>
        <r>
          <rPr>
            <sz val="9"/>
            <color indexed="81"/>
            <rFont val="Tahoma"/>
            <family val="2"/>
          </rPr>
          <t xml:space="preserve">
Bitte Ausfüllen mit Bezug auf die Antwort in Spalte C</t>
        </r>
      </text>
    </comment>
    <comment ref="F571" authorId="0" shapeId="0" xr:uid="{00000000-0006-0000-0200-000037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571" authorId="0" shapeId="0" xr:uid="{00000000-0006-0000-0200-000038000000}">
      <text>
        <r>
          <rPr>
            <b/>
            <sz val="9"/>
            <color indexed="81"/>
            <rFont val="Tahoma"/>
            <family val="2"/>
          </rPr>
          <t>Nühlen, Jochen:</t>
        </r>
        <r>
          <rPr>
            <sz val="9"/>
            <color indexed="81"/>
            <rFont val="Tahoma"/>
            <family val="2"/>
          </rPr>
          <t xml:space="preserve">
Dient der Qualitätssicherung und Auswertung, wird automatisch berechnet</t>
        </r>
      </text>
    </comment>
    <comment ref="H571" authorId="0" shapeId="0" xr:uid="{00000000-0006-0000-0200-000039000000}">
      <text>
        <r>
          <rPr>
            <b/>
            <sz val="9"/>
            <color indexed="81"/>
            <rFont val="Tahoma"/>
            <family val="2"/>
          </rPr>
          <t>Nühlen, Jochen:</t>
        </r>
        <r>
          <rPr>
            <sz val="9"/>
            <color indexed="81"/>
            <rFont val="Tahoma"/>
            <family val="2"/>
          </rPr>
          <t xml:space="preserve">
Bitte Ausfüllen mit Bezug auf die Antwort in Spalte C</t>
        </r>
      </text>
    </comment>
    <comment ref="F605" authorId="0" shapeId="0" xr:uid="{00000000-0006-0000-0200-00003A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605" authorId="0" shapeId="0" xr:uid="{00000000-0006-0000-0200-00003B000000}">
      <text>
        <r>
          <rPr>
            <b/>
            <sz val="9"/>
            <color indexed="81"/>
            <rFont val="Tahoma"/>
            <family val="2"/>
          </rPr>
          <t>Nühlen, Jochen:</t>
        </r>
        <r>
          <rPr>
            <sz val="9"/>
            <color indexed="81"/>
            <rFont val="Tahoma"/>
            <family val="2"/>
          </rPr>
          <t xml:space="preserve">
Dient der Qualitätssicherung und Auswertung, wird automatisch berechnet</t>
        </r>
      </text>
    </comment>
    <comment ref="H605" authorId="0" shapeId="0" xr:uid="{00000000-0006-0000-0200-00003C000000}">
      <text>
        <r>
          <rPr>
            <b/>
            <sz val="9"/>
            <color indexed="81"/>
            <rFont val="Tahoma"/>
            <family val="2"/>
          </rPr>
          <t>Nühlen, Jochen:</t>
        </r>
        <r>
          <rPr>
            <sz val="9"/>
            <color indexed="81"/>
            <rFont val="Tahoma"/>
            <family val="2"/>
          </rPr>
          <t xml:space="preserve">
Bitte Ausfüllen mit Bezug auf die Antwort in Spalte C</t>
        </r>
      </text>
    </comment>
    <comment ref="F631" authorId="0" shapeId="0" xr:uid="{00000000-0006-0000-0200-000040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631" authorId="0" shapeId="0" xr:uid="{00000000-0006-0000-0200-000041000000}">
      <text>
        <r>
          <rPr>
            <b/>
            <sz val="9"/>
            <color indexed="81"/>
            <rFont val="Tahoma"/>
            <family val="2"/>
          </rPr>
          <t>Nühlen, Jochen:</t>
        </r>
        <r>
          <rPr>
            <sz val="9"/>
            <color indexed="81"/>
            <rFont val="Tahoma"/>
            <family val="2"/>
          </rPr>
          <t xml:space="preserve">
Dient der Qualitätssicherung und Auswertung, wird automatisch berechnet</t>
        </r>
      </text>
    </comment>
    <comment ref="H631" authorId="0" shapeId="0" xr:uid="{00000000-0006-0000-0200-000042000000}">
      <text>
        <r>
          <rPr>
            <b/>
            <sz val="9"/>
            <color indexed="81"/>
            <rFont val="Tahoma"/>
            <family val="2"/>
          </rPr>
          <t>Nühlen, Jochen:</t>
        </r>
        <r>
          <rPr>
            <sz val="9"/>
            <color indexed="81"/>
            <rFont val="Tahoma"/>
            <family val="2"/>
          </rPr>
          <t xml:space="preserve">
Bitte Ausfüllen mit Bezug auf die Antwort in Spalte C</t>
        </r>
      </text>
    </comment>
    <comment ref="F668" authorId="0" shapeId="0" xr:uid="{00000000-0006-0000-0200-000043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668" authorId="0" shapeId="0" xr:uid="{00000000-0006-0000-0200-000044000000}">
      <text>
        <r>
          <rPr>
            <b/>
            <sz val="9"/>
            <color indexed="81"/>
            <rFont val="Tahoma"/>
            <family val="2"/>
          </rPr>
          <t>Nühlen, Jochen:</t>
        </r>
        <r>
          <rPr>
            <sz val="9"/>
            <color indexed="81"/>
            <rFont val="Tahoma"/>
            <family val="2"/>
          </rPr>
          <t xml:space="preserve">
Dient der Qualitätssicherung und Auswertung, wird automatisch berechnet</t>
        </r>
      </text>
    </comment>
    <comment ref="H668" authorId="0" shapeId="0" xr:uid="{00000000-0006-0000-0200-000045000000}">
      <text>
        <r>
          <rPr>
            <b/>
            <sz val="9"/>
            <color indexed="81"/>
            <rFont val="Tahoma"/>
            <family val="2"/>
          </rPr>
          <t>Nühlen, Jochen:</t>
        </r>
        <r>
          <rPr>
            <sz val="9"/>
            <color indexed="81"/>
            <rFont val="Tahoma"/>
            <family val="2"/>
          </rPr>
          <t xml:space="preserve">
Bitte Ausfüllen mit Bezug auf die Antwort in Spalte 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Nühlen, Jochen</author>
    <author>Röttgen, Janek</author>
  </authors>
  <commentList>
    <comment ref="F3" authorId="0" shapeId="0" xr:uid="{00000000-0006-0000-0300-000001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3" authorId="0" shapeId="0" xr:uid="{00000000-0006-0000-0300-000002000000}">
      <text>
        <r>
          <rPr>
            <b/>
            <sz val="9"/>
            <color indexed="81"/>
            <rFont val="Tahoma"/>
            <family val="2"/>
          </rPr>
          <t>Nühlen, Jochen:</t>
        </r>
        <r>
          <rPr>
            <sz val="9"/>
            <color indexed="81"/>
            <rFont val="Tahoma"/>
            <family val="2"/>
          </rPr>
          <t xml:space="preserve">
Dient der Qualitätssicherung und Auswertung, wird automatisch berechnet</t>
        </r>
      </text>
    </comment>
    <comment ref="H3" authorId="0" shapeId="0" xr:uid="{00000000-0006-0000-0300-000003000000}">
      <text>
        <r>
          <rPr>
            <b/>
            <sz val="9"/>
            <color indexed="81"/>
            <rFont val="Tahoma"/>
            <family val="2"/>
          </rPr>
          <t>Nühlen, Jochen:</t>
        </r>
        <r>
          <rPr>
            <sz val="9"/>
            <color indexed="81"/>
            <rFont val="Tahoma"/>
            <family val="2"/>
          </rPr>
          <t xml:space="preserve">
Bitte Ausfüllen mit Bezug auf die Antwort in Spalte C</t>
        </r>
      </text>
    </comment>
    <comment ref="F31" authorId="0" shapeId="0" xr:uid="{00000000-0006-0000-0300-000004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31" authorId="0" shapeId="0" xr:uid="{00000000-0006-0000-0300-000005000000}">
      <text>
        <r>
          <rPr>
            <b/>
            <sz val="9"/>
            <color indexed="81"/>
            <rFont val="Tahoma"/>
            <family val="2"/>
          </rPr>
          <t>Nühlen, Jochen:</t>
        </r>
        <r>
          <rPr>
            <sz val="9"/>
            <color indexed="81"/>
            <rFont val="Tahoma"/>
            <family val="2"/>
          </rPr>
          <t xml:space="preserve">
Dient der Qualitätssicherung und Auswertung, wird automatisch berechnet</t>
        </r>
      </text>
    </comment>
    <comment ref="H31" authorId="0" shapeId="0" xr:uid="{00000000-0006-0000-0300-000006000000}">
      <text>
        <r>
          <rPr>
            <b/>
            <sz val="9"/>
            <color indexed="81"/>
            <rFont val="Tahoma"/>
            <family val="2"/>
          </rPr>
          <t>Nühlen, Jochen:</t>
        </r>
        <r>
          <rPr>
            <sz val="9"/>
            <color indexed="81"/>
            <rFont val="Tahoma"/>
            <family val="2"/>
          </rPr>
          <t xml:space="preserve">
Bitte Ausfüllen mit Bezug auf die Antwort in Spalte C</t>
        </r>
      </text>
    </comment>
    <comment ref="F36" authorId="0" shapeId="0" xr:uid="{00000000-0006-0000-0300-000007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36" authorId="0" shapeId="0" xr:uid="{00000000-0006-0000-0300-000008000000}">
      <text>
        <r>
          <rPr>
            <b/>
            <sz val="9"/>
            <color indexed="81"/>
            <rFont val="Tahoma"/>
            <family val="2"/>
          </rPr>
          <t>Nühlen, Jochen:</t>
        </r>
        <r>
          <rPr>
            <sz val="9"/>
            <color indexed="81"/>
            <rFont val="Tahoma"/>
            <family val="2"/>
          </rPr>
          <t xml:space="preserve">
Dient der Qualitätssicherung und Auswertung, wird automatisch berechnet</t>
        </r>
      </text>
    </comment>
    <comment ref="H36" authorId="0" shapeId="0" xr:uid="{00000000-0006-0000-0300-000009000000}">
      <text>
        <r>
          <rPr>
            <b/>
            <sz val="9"/>
            <color indexed="81"/>
            <rFont val="Tahoma"/>
            <family val="2"/>
          </rPr>
          <t>Nühlen, Jochen:</t>
        </r>
        <r>
          <rPr>
            <sz val="9"/>
            <color indexed="81"/>
            <rFont val="Tahoma"/>
            <family val="2"/>
          </rPr>
          <t xml:space="preserve">
Bitte Ausfüllen mit Bezug auf die Antwort in Spalte C</t>
        </r>
      </text>
    </comment>
    <comment ref="F65" authorId="0" shapeId="0" xr:uid="{00000000-0006-0000-0300-00000A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65" authorId="0" shapeId="0" xr:uid="{00000000-0006-0000-0300-00000B000000}">
      <text>
        <r>
          <rPr>
            <b/>
            <sz val="9"/>
            <color indexed="81"/>
            <rFont val="Tahoma"/>
            <family val="2"/>
          </rPr>
          <t>Nühlen, Jochen:</t>
        </r>
        <r>
          <rPr>
            <sz val="9"/>
            <color indexed="81"/>
            <rFont val="Tahoma"/>
            <family val="2"/>
          </rPr>
          <t xml:space="preserve">
Dient der Qualitätssicherung und Auswertung, wird automatisch berechnet</t>
        </r>
      </text>
    </comment>
    <comment ref="H65" authorId="0" shapeId="0" xr:uid="{00000000-0006-0000-0300-00000C000000}">
      <text>
        <r>
          <rPr>
            <b/>
            <sz val="9"/>
            <color indexed="81"/>
            <rFont val="Tahoma"/>
            <family val="2"/>
          </rPr>
          <t>Nühlen, Jochen:</t>
        </r>
        <r>
          <rPr>
            <sz val="9"/>
            <color indexed="81"/>
            <rFont val="Tahoma"/>
            <family val="2"/>
          </rPr>
          <t xml:space="preserve">
Bitte Ausfüllen mit Bezug auf die Antwort in Spalte C</t>
        </r>
      </text>
    </comment>
    <comment ref="F103" authorId="0" shapeId="0" xr:uid="{00000000-0006-0000-0300-000010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103" authorId="0" shapeId="0" xr:uid="{00000000-0006-0000-0300-000011000000}">
      <text>
        <r>
          <rPr>
            <b/>
            <sz val="9"/>
            <color indexed="81"/>
            <rFont val="Tahoma"/>
            <family val="2"/>
          </rPr>
          <t>Nühlen, Jochen:</t>
        </r>
        <r>
          <rPr>
            <sz val="9"/>
            <color indexed="81"/>
            <rFont val="Tahoma"/>
            <family val="2"/>
          </rPr>
          <t xml:space="preserve">
Dient der Qualitätssicherung und Auswertung, wird automatisch berechnet</t>
        </r>
      </text>
    </comment>
    <comment ref="H103" authorId="0" shapeId="0" xr:uid="{00000000-0006-0000-0300-000012000000}">
      <text>
        <r>
          <rPr>
            <b/>
            <sz val="9"/>
            <color indexed="81"/>
            <rFont val="Tahoma"/>
            <family val="2"/>
          </rPr>
          <t>Nühlen, Jochen:</t>
        </r>
        <r>
          <rPr>
            <sz val="9"/>
            <color indexed="81"/>
            <rFont val="Tahoma"/>
            <family val="2"/>
          </rPr>
          <t xml:space="preserve">
Bitte Ausfüllen mit Bezug auf die Antwort in Spalte C</t>
        </r>
      </text>
    </comment>
    <comment ref="F159" authorId="0" shapeId="0" xr:uid="{00000000-0006-0000-0300-000013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159" authorId="0" shapeId="0" xr:uid="{00000000-0006-0000-0300-000014000000}">
      <text>
        <r>
          <rPr>
            <b/>
            <sz val="9"/>
            <color indexed="81"/>
            <rFont val="Tahoma"/>
            <family val="2"/>
          </rPr>
          <t>Nühlen, Jochen:</t>
        </r>
        <r>
          <rPr>
            <sz val="9"/>
            <color indexed="81"/>
            <rFont val="Tahoma"/>
            <family val="2"/>
          </rPr>
          <t xml:space="preserve">
Dient der Qualitätssicherung und Auswertung, wird automatisch berechnet</t>
        </r>
      </text>
    </comment>
    <comment ref="H159" authorId="0" shapeId="0" xr:uid="{00000000-0006-0000-0300-000015000000}">
      <text>
        <r>
          <rPr>
            <b/>
            <sz val="9"/>
            <color indexed="81"/>
            <rFont val="Tahoma"/>
            <family val="2"/>
          </rPr>
          <t>Nühlen, Jochen:</t>
        </r>
        <r>
          <rPr>
            <sz val="9"/>
            <color indexed="81"/>
            <rFont val="Tahoma"/>
            <family val="2"/>
          </rPr>
          <t xml:space="preserve">
Bitte Ausfüllen mit Bezug auf die Antwort in Spalte C</t>
        </r>
      </text>
    </comment>
    <comment ref="F195" authorId="0" shapeId="0" xr:uid="{00000000-0006-0000-0300-000016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195" authorId="0" shapeId="0" xr:uid="{00000000-0006-0000-0300-000017000000}">
      <text>
        <r>
          <rPr>
            <b/>
            <sz val="9"/>
            <color indexed="81"/>
            <rFont val="Tahoma"/>
            <family val="2"/>
          </rPr>
          <t>Nühlen, Jochen:</t>
        </r>
        <r>
          <rPr>
            <sz val="9"/>
            <color indexed="81"/>
            <rFont val="Tahoma"/>
            <family val="2"/>
          </rPr>
          <t xml:space="preserve">
Dient der Qualitätssicherung und Auswertung, wird automatisch berechnet</t>
        </r>
      </text>
    </comment>
    <comment ref="H195" authorId="0" shapeId="0" xr:uid="{00000000-0006-0000-0300-000018000000}">
      <text>
        <r>
          <rPr>
            <b/>
            <sz val="9"/>
            <color indexed="81"/>
            <rFont val="Tahoma"/>
            <family val="2"/>
          </rPr>
          <t>Nühlen, Jochen:</t>
        </r>
        <r>
          <rPr>
            <sz val="9"/>
            <color indexed="81"/>
            <rFont val="Tahoma"/>
            <family val="2"/>
          </rPr>
          <t xml:space="preserve">
Bitte Ausfüllen mit Bezug auf die Antwort in Spalte C</t>
        </r>
      </text>
    </comment>
    <comment ref="F223" authorId="0" shapeId="0" xr:uid="{00000000-0006-0000-0300-000019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223" authorId="0" shapeId="0" xr:uid="{00000000-0006-0000-0300-00001A000000}">
      <text>
        <r>
          <rPr>
            <b/>
            <sz val="9"/>
            <color indexed="81"/>
            <rFont val="Tahoma"/>
            <family val="2"/>
          </rPr>
          <t>Nühlen, Jochen:</t>
        </r>
        <r>
          <rPr>
            <sz val="9"/>
            <color indexed="81"/>
            <rFont val="Tahoma"/>
            <family val="2"/>
          </rPr>
          <t xml:space="preserve">
Dient der Qualitätssicherung und Auswertung, wird automatisch berechnet</t>
        </r>
      </text>
    </comment>
    <comment ref="H223" authorId="0" shapeId="0" xr:uid="{00000000-0006-0000-0300-00001B000000}">
      <text>
        <r>
          <rPr>
            <b/>
            <sz val="9"/>
            <color indexed="81"/>
            <rFont val="Tahoma"/>
            <family val="2"/>
          </rPr>
          <t>Nühlen, Jochen:</t>
        </r>
        <r>
          <rPr>
            <sz val="9"/>
            <color indexed="81"/>
            <rFont val="Tahoma"/>
            <family val="2"/>
          </rPr>
          <t xml:space="preserve">
Bitte Ausfüllen mit Bezug auf die Antwort in Spalte C</t>
        </r>
      </text>
    </comment>
    <comment ref="F240" authorId="0" shapeId="0" xr:uid="{00000000-0006-0000-0300-00001C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240" authorId="0" shapeId="0" xr:uid="{00000000-0006-0000-0300-00001D000000}">
      <text>
        <r>
          <rPr>
            <b/>
            <sz val="9"/>
            <color indexed="81"/>
            <rFont val="Tahoma"/>
            <family val="2"/>
          </rPr>
          <t>Nühlen, Jochen:</t>
        </r>
        <r>
          <rPr>
            <sz val="9"/>
            <color indexed="81"/>
            <rFont val="Tahoma"/>
            <family val="2"/>
          </rPr>
          <t xml:space="preserve">
Dient der Qualitätssicherung und Auswertung, wird automatisch berechnet</t>
        </r>
      </text>
    </comment>
    <comment ref="H240" authorId="0" shapeId="0" xr:uid="{00000000-0006-0000-0300-00001E000000}">
      <text>
        <r>
          <rPr>
            <b/>
            <sz val="9"/>
            <color indexed="81"/>
            <rFont val="Tahoma"/>
            <family val="2"/>
          </rPr>
          <t>Nühlen, Jochen:</t>
        </r>
        <r>
          <rPr>
            <sz val="9"/>
            <color indexed="81"/>
            <rFont val="Tahoma"/>
            <family val="2"/>
          </rPr>
          <t xml:space="preserve">
Bitte Ausfüllen mit Bezug auf die Antwort in Spalte C</t>
        </r>
      </text>
    </comment>
    <comment ref="F246" authorId="0" shapeId="0" xr:uid="{00000000-0006-0000-0300-00001F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246" authorId="0" shapeId="0" xr:uid="{00000000-0006-0000-0300-000020000000}">
      <text>
        <r>
          <rPr>
            <b/>
            <sz val="9"/>
            <color indexed="81"/>
            <rFont val="Tahoma"/>
            <family val="2"/>
          </rPr>
          <t>Nühlen, Jochen:</t>
        </r>
        <r>
          <rPr>
            <sz val="9"/>
            <color indexed="81"/>
            <rFont val="Tahoma"/>
            <family val="2"/>
          </rPr>
          <t xml:space="preserve">
Dient der Qualitätssicherung und Auswertung, wird automatisch berechnet</t>
        </r>
      </text>
    </comment>
    <comment ref="H246" authorId="0" shapeId="0" xr:uid="{00000000-0006-0000-0300-000021000000}">
      <text>
        <r>
          <rPr>
            <b/>
            <sz val="9"/>
            <color indexed="81"/>
            <rFont val="Tahoma"/>
            <family val="2"/>
          </rPr>
          <t>Nühlen, Jochen:</t>
        </r>
        <r>
          <rPr>
            <sz val="9"/>
            <color indexed="81"/>
            <rFont val="Tahoma"/>
            <family val="2"/>
          </rPr>
          <t xml:space="preserve">
Bitte Ausfüllen mit Bezug auf die Antwort in Spalte C</t>
        </r>
      </text>
    </comment>
    <comment ref="F272" authorId="0" shapeId="0" xr:uid="{00000000-0006-0000-0300-000022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272" authorId="0" shapeId="0" xr:uid="{00000000-0006-0000-0300-000023000000}">
      <text>
        <r>
          <rPr>
            <b/>
            <sz val="9"/>
            <color indexed="81"/>
            <rFont val="Tahoma"/>
            <family val="2"/>
          </rPr>
          <t>Nühlen, Jochen:</t>
        </r>
        <r>
          <rPr>
            <sz val="9"/>
            <color indexed="81"/>
            <rFont val="Tahoma"/>
            <family val="2"/>
          </rPr>
          <t xml:space="preserve">
Dient der Qualitätssicherung und Auswertung, wird automatisch berechnet</t>
        </r>
      </text>
    </comment>
    <comment ref="H272" authorId="0" shapeId="0" xr:uid="{00000000-0006-0000-0300-000024000000}">
      <text>
        <r>
          <rPr>
            <b/>
            <sz val="9"/>
            <color indexed="81"/>
            <rFont val="Tahoma"/>
            <family val="2"/>
          </rPr>
          <t>Nühlen, Jochen:</t>
        </r>
        <r>
          <rPr>
            <sz val="9"/>
            <color indexed="81"/>
            <rFont val="Tahoma"/>
            <family val="2"/>
          </rPr>
          <t xml:space="preserve">
Bitte Ausfüllen mit Bezug auf die Antwort in Spalte C</t>
        </r>
      </text>
    </comment>
    <comment ref="A289" authorId="1" shapeId="0" xr:uid="{00000000-0006-0000-0300-000025000000}">
      <text>
        <r>
          <rPr>
            <b/>
            <sz val="9"/>
            <color indexed="81"/>
            <rFont val="Segoe UI"/>
            <family val="2"/>
          </rPr>
          <t>Röttgen, Janek:</t>
        </r>
        <r>
          <rPr>
            <sz val="9"/>
            <color indexed="81"/>
            <rFont val="Segoe UI"/>
            <family val="2"/>
          </rPr>
          <t xml:space="preserve">
Wird Vorgrundierung evtl. weggelassen da von Werk aus vorgrundiert?
</t>
        </r>
      </text>
    </comment>
    <comment ref="F312" authorId="0" shapeId="0" xr:uid="{00000000-0006-0000-0300-000026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312" authorId="0" shapeId="0" xr:uid="{00000000-0006-0000-0300-000027000000}">
      <text>
        <r>
          <rPr>
            <b/>
            <sz val="9"/>
            <color indexed="81"/>
            <rFont val="Tahoma"/>
            <family val="2"/>
          </rPr>
          <t>Nühlen, Jochen:</t>
        </r>
        <r>
          <rPr>
            <sz val="9"/>
            <color indexed="81"/>
            <rFont val="Tahoma"/>
            <family val="2"/>
          </rPr>
          <t xml:space="preserve">
Dient der Qualitätssicherung und Auswertung, wird automatisch berechnet</t>
        </r>
      </text>
    </comment>
    <comment ref="H312" authorId="0" shapeId="0" xr:uid="{00000000-0006-0000-0300-000028000000}">
      <text>
        <r>
          <rPr>
            <b/>
            <sz val="9"/>
            <color indexed="81"/>
            <rFont val="Tahoma"/>
            <family val="2"/>
          </rPr>
          <t>Nühlen, Jochen:</t>
        </r>
        <r>
          <rPr>
            <sz val="9"/>
            <color indexed="81"/>
            <rFont val="Tahoma"/>
            <family val="2"/>
          </rPr>
          <t xml:space="preserve">
Bitte Ausfüllen mit Bezug auf die Antwort in Spalte C</t>
        </r>
      </text>
    </comment>
    <comment ref="F345" authorId="0" shapeId="0" xr:uid="{00000000-0006-0000-0300-000029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G345" authorId="0" shapeId="0" xr:uid="{00000000-0006-0000-0300-00002A000000}">
      <text>
        <r>
          <rPr>
            <b/>
            <sz val="9"/>
            <color indexed="81"/>
            <rFont val="Tahoma"/>
            <family val="2"/>
          </rPr>
          <t>Nühlen, Jochen:</t>
        </r>
        <r>
          <rPr>
            <sz val="9"/>
            <color indexed="81"/>
            <rFont val="Tahoma"/>
            <family val="2"/>
          </rPr>
          <t xml:space="preserve">
Dient der Qualitätssicherung und Auswertung, wird automatisch berechnet</t>
        </r>
      </text>
    </comment>
    <comment ref="H345" authorId="0" shapeId="0" xr:uid="{00000000-0006-0000-0300-00002B000000}">
      <text>
        <r>
          <rPr>
            <b/>
            <sz val="9"/>
            <color indexed="81"/>
            <rFont val="Tahoma"/>
            <family val="2"/>
          </rPr>
          <t>Nühlen, Jochen:</t>
        </r>
        <r>
          <rPr>
            <sz val="9"/>
            <color indexed="81"/>
            <rFont val="Tahoma"/>
            <family val="2"/>
          </rPr>
          <t xml:space="preserve">
Bitte Ausfüllen mit Bezug auf die Antwort in Spalte 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Nühlen, Jochen</author>
  </authors>
  <commentList>
    <comment ref="E24" authorId="0" shapeId="0" xr:uid="{00000000-0006-0000-0500-000004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E28" authorId="0" shapeId="0" xr:uid="{00000000-0006-0000-0500-000007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E51" authorId="0" shapeId="0" xr:uid="{00000000-0006-0000-0500-00000D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E80" authorId="0" shapeId="0" xr:uid="{00000000-0006-0000-0500-000010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E130" authorId="0" shapeId="0" xr:uid="{00000000-0006-0000-0500-000013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E161" authorId="0" shapeId="0" xr:uid="{00000000-0006-0000-0500-000016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E207" authorId="0" shapeId="0" xr:uid="{00000000-0006-0000-0500-00001C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E212" authorId="0" shapeId="0" xr:uid="{00000000-0006-0000-0500-00001F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E242" authorId="0" shapeId="0" xr:uid="{00000000-0006-0000-0500-000022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E271" authorId="0" shapeId="0" xr:uid="{00000000-0006-0000-0500-000028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E306" authorId="0" shapeId="0" xr:uid="{00000000-0006-0000-0500-00002B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E346" authorId="0" shapeId="0" xr:uid="{00000000-0006-0000-0500-00002E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 ref="E377" authorId="0" shapeId="0" xr:uid="{00000000-0006-0000-0500-000031000000}">
      <text>
        <r>
          <rPr>
            <b/>
            <sz val="9"/>
            <color indexed="81"/>
            <rFont val="Tahoma"/>
            <family val="2"/>
          </rPr>
          <t>Nühlen, Jochen:</t>
        </r>
        <r>
          <rPr>
            <sz val="9"/>
            <color indexed="81"/>
            <rFont val="Tahoma"/>
            <family val="2"/>
          </rPr>
          <t xml:space="preserve">
</t>
        </r>
        <r>
          <rPr>
            <sz val="8"/>
            <color indexed="81"/>
            <rFont val="Tahoma"/>
            <family val="2"/>
          </rPr>
          <t>Bitte ausfüllen. Erläuterungen zu den geweiligen Kategorien finden sich im Reiter "Aufbau"</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<sst xmlns="http://schemas.openxmlformats.org/spreadsheetml/2006/main" count="4645" uniqueCount="1014">
  <si>
    <t>Tabellenblätter</t>
  </si>
  <si>
    <t>Daten</t>
  </si>
  <si>
    <t>Kontakt</t>
  </si>
  <si>
    <t>Datenlieferant/Fachkontakt:</t>
  </si>
  <si>
    <t xml:space="preserve">Stand: </t>
  </si>
  <si>
    <t>-</t>
  </si>
  <si>
    <t>Qualitätsindikatoren</t>
  </si>
  <si>
    <t>Reparatur Stoßfänger (Schweißen)</t>
  </si>
  <si>
    <t>Repräsentativität</t>
  </si>
  <si>
    <t xml:space="preserve">Allgemein
</t>
  </si>
  <si>
    <t>Einheit</t>
  </si>
  <si>
    <t>Daten Scoda wenn abweichend</t>
  </si>
  <si>
    <t>Kommentar</t>
  </si>
  <si>
    <t>Datenherkunft -  Wie wurden die Daten erhoben?</t>
  </si>
  <si>
    <t>Datenqualität - Wie sicher sind die Daten?</t>
  </si>
  <si>
    <t>Datenaktualität - Zeitraum der Datenerhebung?</t>
  </si>
  <si>
    <t>Datenlieferant
(Person)</t>
  </si>
  <si>
    <t>Bemerkung/Erkläuterung</t>
  </si>
  <si>
    <t>Hintergrunddaten</t>
  </si>
  <si>
    <t>Freigabe durch:</t>
  </si>
  <si>
    <t>Modell KFZ</t>
  </si>
  <si>
    <t>Dauer Gesamtprozess</t>
  </si>
  <si>
    <t>Anzahl MA</t>
  </si>
  <si>
    <t>Wird Ersatzauto rausgegeben?</t>
  </si>
  <si>
    <t>Fahrzeugannahme</t>
  </si>
  <si>
    <t>Dauer</t>
  </si>
  <si>
    <t>Input</t>
  </si>
  <si>
    <t>Papier?</t>
  </si>
  <si>
    <t>[kg/input]</t>
  </si>
  <si>
    <t>Büromaterialien?</t>
  </si>
  <si>
    <t>Materialien für PC?</t>
  </si>
  <si>
    <t>Materialien für Hebebühne, Halle etc?</t>
  </si>
  <si>
    <t>Elektrizität (Licht, PC, Hebebühne, Heizung, Klimaanlage)</t>
  </si>
  <si>
    <t>[kWh/input]</t>
  </si>
  <si>
    <t>Elektrizität für Wartezeit?</t>
  </si>
  <si>
    <t>Output</t>
  </si>
  <si>
    <t>Angenommenes Auto bereit zur Reparatur</t>
  </si>
  <si>
    <t>[Stück/Output]</t>
  </si>
  <si>
    <t>Demonatge defekte Stoßstange</t>
  </si>
  <si>
    <t>[Stück/input]</t>
  </si>
  <si>
    <t>Werkzeug ?</t>
  </si>
  <si>
    <t>Öl (WD-40 zum Lösen von Teilen) ?</t>
  </si>
  <si>
    <t>Papiertücher ?</t>
  </si>
  <si>
    <t>Elektrizität (Licht, Heizung, Werkzeug)</t>
  </si>
  <si>
    <t>verschmutzte Papiertücher ?</t>
  </si>
  <si>
    <t>[kg/Output]</t>
  </si>
  <si>
    <t>defekte Stoßstange</t>
  </si>
  <si>
    <t>zu reparierendes Auto mit demontierter Stoßstange</t>
  </si>
  <si>
    <t>Vorbereitung zum Schweißen</t>
  </si>
  <si>
    <t>Schleifmaterial</t>
  </si>
  <si>
    <t>Schleifmaschine?</t>
  </si>
  <si>
    <t>Sauger?</t>
  </si>
  <si>
    <t>Duckluft</t>
  </si>
  <si>
    <t xml:space="preserve">Tücher zur Reinigung? </t>
  </si>
  <si>
    <t>Elektrizität (Licht, Heizung, Schleifmaschine, Sauger)</t>
  </si>
  <si>
    <t>zu schweißende Stoßstange</t>
  </si>
  <si>
    <t>Feinstaub (Schleifen)?</t>
  </si>
  <si>
    <t>Verschmutzte Tücher</t>
  </si>
  <si>
    <t>Abfall Schleifmaterial</t>
  </si>
  <si>
    <t>Schweißen + Nachbearbeitung</t>
  </si>
  <si>
    <t>Schweißgerät?</t>
  </si>
  <si>
    <t>Schweißmaterial/Zusatz</t>
  </si>
  <si>
    <t>Schutzgas</t>
  </si>
  <si>
    <t>Schutzausrüstung (Handschuhe, Schweißhelm)?</t>
  </si>
  <si>
    <t>Elektrizität (Licht, Heizung, Schweißgerät, Schleifmaschine)</t>
  </si>
  <si>
    <t>geschweißte und nachbearbeitete Stoßstange</t>
  </si>
  <si>
    <t>Schweißrückstände</t>
  </si>
  <si>
    <t xml:space="preserve">Schweißabgase </t>
  </si>
  <si>
    <t>Vorbereitung Lackierung</t>
  </si>
  <si>
    <t>Spachtelmasse</t>
  </si>
  <si>
    <t>Grundierung</t>
  </si>
  <si>
    <t>Füller</t>
  </si>
  <si>
    <t>Infrarot Trockner</t>
  </si>
  <si>
    <t>Schleifpapier</t>
  </si>
  <si>
    <t>Silikonentferner</t>
  </si>
  <si>
    <t>Staubbindetuch -&gt; Mikrofaser?</t>
  </si>
  <si>
    <t>Papier zum Abkleben</t>
  </si>
  <si>
    <t>Kunststofffolie zum Abkleben</t>
  </si>
  <si>
    <t>Druckluft</t>
  </si>
  <si>
    <t>Elektrizität (Licht, Heizung, Infrarot Trocknung)</t>
  </si>
  <si>
    <t>für Lackierung vorbereitete Stoßtange</t>
  </si>
  <si>
    <t>Reste Spachtelmasse</t>
  </si>
  <si>
    <t>Feinstaub (Schleifen) ?</t>
  </si>
  <si>
    <t>Gase durch Trocknen??</t>
  </si>
  <si>
    <t>Lackieren + Nachbearbeitung (Polieren)</t>
  </si>
  <si>
    <t>Lackieranlage (Komponenten?)</t>
  </si>
  <si>
    <t>Lack</t>
  </si>
  <si>
    <t>Schutzkleidung?</t>
  </si>
  <si>
    <t>Poliermaschine?</t>
  </si>
  <si>
    <t>Poliermittel</t>
  </si>
  <si>
    <t>Poliertücher</t>
  </si>
  <si>
    <t>Druckluft (Lackieranlage, Poliermaschine)</t>
  </si>
  <si>
    <t>Elektrizität (Licht, Heizung, Lackieranlage, Poliermaschine)</t>
  </si>
  <si>
    <t>Lackierte und polierte Stoßstange</t>
  </si>
  <si>
    <t>Gase?</t>
  </si>
  <si>
    <t>Abfall Schutzkleidung?</t>
  </si>
  <si>
    <t>getrocknete Lackreste</t>
  </si>
  <si>
    <t>nicht wiederverwendbarer Lack (wie Entsorgung?)</t>
  </si>
  <si>
    <t>Abfall Papier (abkleben)</t>
  </si>
  <si>
    <t>Abfall Kunststofffolie (abkleben)</t>
  </si>
  <si>
    <t>Poliermittelreste</t>
  </si>
  <si>
    <t>verschmutzte Poliertücher</t>
  </si>
  <si>
    <t>Montage + Probefahrt</t>
  </si>
  <si>
    <t>lackierte und polierte Stoßstange</t>
  </si>
  <si>
    <t>Werkzeug</t>
  </si>
  <si>
    <t>Schmiermittel für Montage?</t>
  </si>
  <si>
    <t>Elektrizität (Licht, Heizung, Werkzeug, Hebebühne)</t>
  </si>
  <si>
    <t>Kraftstoff (Benzin, Diesel)</t>
  </si>
  <si>
    <t>repariertes Auto</t>
  </si>
  <si>
    <t>verschmutzte Papiertücher</t>
  </si>
  <si>
    <t>Reste Schmiermittel?</t>
  </si>
  <si>
    <t>Emissionen Kraftstoffverbrennung?</t>
  </si>
  <si>
    <t>Reparatur Stoßfänger (Erwärmung zur Rückverformung)</t>
  </si>
  <si>
    <t>Hintergrunddatensatz</t>
  </si>
  <si>
    <t>Audi A3</t>
  </si>
  <si>
    <t>min</t>
  </si>
  <si>
    <t>1251 (20,85 h)</t>
  </si>
  <si>
    <t>(ohne Fahrzeugannahme und ohne Proberfahrt) davon 411 (6,85 h) Arbeitszeit und 840 (14 h ) Wartezeit über Nacht</t>
  </si>
  <si>
    <t>1 für Spachtelarbeiten + Grundieren; 1 für Lackieren, 1 für Polieren</t>
  </si>
  <si>
    <t>Ausbau in beiden Fällen gleich?</t>
  </si>
  <si>
    <t>Nein</t>
  </si>
  <si>
    <t>Wird ein neuer Stoßfänger eingebaut, müssen Anbauteile bei der späteren Montage vom alten Stoßfänger umgebaut werden</t>
  </si>
  <si>
    <t>Wäre Reparatur auch im eingebauten Zustand möglich?</t>
  </si>
  <si>
    <t>wird nicht praktiziert</t>
  </si>
  <si>
    <t>Leihwagen für gesamten Prozess (nur Produktion)</t>
  </si>
  <si>
    <t>kg</t>
  </si>
  <si>
    <r>
      <rPr>
        <b/>
        <sz val="10"/>
        <rFont val="Frutiger 45 Light"/>
        <family val="2"/>
      </rPr>
      <t>Durchschnittliche Lebensdauer KFZ</t>
    </r>
    <r>
      <rPr>
        <sz val="10"/>
        <rFont val="Frutiger 45 Light"/>
        <family val="2"/>
      </rPr>
      <t xml:space="preserve"> (Statista 2014): 18 Jahre -&gt; 9460800 min (https://de.statista.com/statistik/daten/studie/316498/umfrage/lebensdauer-von-autos-deutschland/#:~:text=Der%20Durchschnitt%20liegt%20bei%2018,in%20Deutschland%20zugelassenen%20Personenkraftwagen%20steigt.)
Ecoinvent Datensatz: Gewicht 1314 kg (UUID: c9e9914f-24fb-3347-ac24-01f633f1a126)</t>
    </r>
  </si>
  <si>
    <t>1. Demonatge defekte Stoßstange</t>
  </si>
  <si>
    <t>Stück</t>
  </si>
  <si>
    <t>1 MA + 1 Azubi</t>
  </si>
  <si>
    <t>Infrastruktur</t>
  </si>
  <si>
    <r>
      <t>m</t>
    </r>
    <r>
      <rPr>
        <vertAlign val="superscript"/>
        <sz val="10"/>
        <rFont val="Frutiger 45 Light"/>
        <family val="2"/>
      </rPr>
      <t>2</t>
    </r>
  </si>
  <si>
    <r>
      <t>Annahme: benötigte Fläche: 5 m * 4 m = 20m</t>
    </r>
    <r>
      <rPr>
        <vertAlign val="superscript"/>
        <sz val="10"/>
        <rFont val="Frutiger 45 Light"/>
        <family val="2"/>
      </rPr>
      <t>2</t>
    </r>
    <r>
      <rPr>
        <sz val="10"/>
        <rFont val="Frutiger 45 Light"/>
        <family val="2"/>
      </rPr>
      <t>. Fläche umbelegt auf 50 Jahre wirtschaftliche Nutzungsdauer</t>
    </r>
  </si>
  <si>
    <t>market for building, hall | building, hall | Cutoff, S - GLO</t>
  </si>
  <si>
    <t>Leihwagen</t>
  </si>
  <si>
    <t>Annahmen: siehe Seitenanfang</t>
  </si>
  <si>
    <t>Elektrizität (Licht, Werkzeug, Hebebühne)</t>
  </si>
  <si>
    <t>aktuell berechnt über Kostenkalkulationen und Bearbeitungszeit</t>
  </si>
  <si>
    <t>Gas (Heizung)</t>
  </si>
  <si>
    <r>
      <t xml:space="preserve">Wird zum Lösen einiger Schrauben verwendet.
</t>
    </r>
    <r>
      <rPr>
        <b/>
        <sz val="10"/>
        <rFont val="Frutiger 45 Light"/>
        <family val="2"/>
      </rPr>
      <t>Wird hier vernachlässigt!</t>
    </r>
  </si>
  <si>
    <t>Arbeitshandschuhe</t>
  </si>
  <si>
    <t>Paar</t>
  </si>
  <si>
    <t>ca. 1 Paar pro Woche und Person, Annahme 7 produktive Stunden pro Tag (420 min) -&gt; 2100 min pro Woche  -&gt; 1/2100 Arbeitshandschuh pro min
MA sagte er macht ca. 9 solcher Prozesse pro Tag</t>
  </si>
  <si>
    <t>Neue Stoßstangenhalter (Kunststoff)</t>
  </si>
  <si>
    <t>Gramm</t>
  </si>
  <si>
    <t>Tatsächliches Gewicht in Werkstatt erfragen!!!
2 Stück; werden immer getauscht (siehe Bilder)
Material, Polyethylen</t>
  </si>
  <si>
    <t>Verpackung (Folie PE/PP)</t>
  </si>
  <si>
    <t>Zu Hause gewogen</t>
  </si>
  <si>
    <t>market for packaging film, low density polyethylene | packaging film, low density polyethylene | Cutoff, S - GLO</t>
  </si>
  <si>
    <t>Klebeband (Papier)</t>
  </si>
  <si>
    <t>zum Markieren der Teile (ca 40 cm Länge)
Klebeband: 
- Breite: 3,8 cm 
- Gewicht (gemessen): 0,4 g (L x B: 11,88 cm x 3,8 cm = 45,144 cm2 -&gt; 0,00886 g/cm2
- Volumen: (Dicke (Literatur) 110 um -&gt; 0,011 cm) 0,496584 cm3 -&gt; 0,81 g/cm3 (In Literatur: 0,64 g/cm3)</t>
  </si>
  <si>
    <t>Papiertücher</t>
  </si>
  <si>
    <t>gemessen (Blatt Toilettenpapier):
9,5 x 14 cm = 133 cm2 -&gt; 0,7 g
-&gt; 0,00526316 g/cm2 (52,6316 g/m2)
Maße: 22 x 35 cm -&gt; 770 cm2
Annahme: 2 Blätter pro Prozess</t>
  </si>
  <si>
    <t>market for tissue paper | tissue paper | Cutoff, S - GLO</t>
  </si>
  <si>
    <t xml:space="preserve">kg </t>
  </si>
  <si>
    <t>Abfall alte Stoßstangenhalter</t>
  </si>
  <si>
    <t xml:space="preserve">Gramm </t>
  </si>
  <si>
    <t>Recyclingszenario?</t>
  </si>
  <si>
    <t>treatment of waste polyethylene/polypropylene product, collection for final disposal | waste polyethylene/polypropylene product | Cutoff, S - Europe without Switzerland</t>
  </si>
  <si>
    <t>Abfall Verpackungsfolie</t>
  </si>
  <si>
    <t>Abfall Papiertücher</t>
  </si>
  <si>
    <t>treatment of waste paperboard, municipal incineration | waste paperboard | Cutoff, S - RoW</t>
  </si>
  <si>
    <t>Abfall Handschuhe (anteilig)</t>
  </si>
  <si>
    <t>treatment of waste textile, soiled, municipal incineration | waste textile, soiled | Cutoff, S - RoW</t>
  </si>
  <si>
    <t>zusätzlich benötigte Maschinen/Materialien</t>
  </si>
  <si>
    <t xml:space="preserve">Hebebühne (elektrisch, hydraulisch) </t>
  </si>
  <si>
    <t>verschiedene sechskantschlüssel (Metall, Gummigriff)</t>
  </si>
  <si>
    <t>Er benutzt sie seit 6 Jahren</t>
  </si>
  <si>
    <t xml:space="preserve">Taschenlampe (klein) </t>
  </si>
  <si>
    <t>Batterie?</t>
  </si>
  <si>
    <t xml:space="preserve">Kunststoffeimer zum Sammeln von Schrauben, Clips etc. </t>
  </si>
  <si>
    <t>Metallständer + Kunststoffrohrisolierung als Schutz</t>
  </si>
  <si>
    <t>(siehe Bilder)</t>
  </si>
  <si>
    <t>Kunststoffblöcke als Schutz beim Anheben mit Hebebühne</t>
  </si>
  <si>
    <t>Luftdruckbetriebener Schraubenschlüssel</t>
  </si>
  <si>
    <t>Lösen von ca. 4 Schrauben)</t>
  </si>
  <si>
    <t>2. Reparatur Stoßstange  + Vorbereitung zur Lackierung</t>
  </si>
  <si>
    <t>Allgemein</t>
  </si>
  <si>
    <t>Betroffene Stelle wird mit Maschine und Schleifschwamm lokal intensiv angeschliffen (Lack und Material) und durch Heißluft-Föhn erwärmt und so geklebt. Dann wird die entsprechnede Stelle mit Spachtelmasse bedeckt (Trockenzeit ca. 10 min) und vom gesamten Bauteil der Lack mit der Maschine abgeschliffen. (320 Schleifscheibe) (nicht ganz ab aber matt geschliffen). Spachtelmasse wird grob per Hand abgeschliffen. Durch Kontrollpulver werden die Stellen Sichtbar, die tiefer liegen. Spachtelabschliff landet auf Boden. Dann nochmal Spachteln, Kontrollpulver und nochmal abschleifen. Zum Schluss wird gespachtelte Stelle mit Maschine abgeschliffen (180 Scheibe). Lokal nochmal nachgespachtelt und in Wartezeit (Trocknen) die Stellen an die man mit Maschine nicht kommt mit Schleifschwamm abgeschliffen. Spachtelmasse wird mit Handschleifblock abgeschliffen. Zum Schluss wird gesamtes Bauteil mit 320 Scheibe und Maschine abgeschliffen. Dann nochmal Cleaner und Stofftuch. Dann wird nicht abgeschliffener Bereich vor Grundierung abgeklebt. Im nächsten Schritt erfolgt das Auftragen der Vorgrundierung (Befreien von Plastik) (Menge siehe Bild -&gt; komplett versprüht. (Dauer: 1 min) Dann werden 200 ml schwarzer Füller, 50 ml Härter + 10 Prozent Verdünner gemischt. Messbecher wird wiederverwendet (wie oft?) Kunststoffeinsatz wird jedes mal neu verwendet. Er sprüht einmal alles an (1 min) wartet 5 min (dauert länger wenns kalt ist) und sprüht alles nochmal an wartet wieder 5 min und sprüht nochmal alles an. Auf die gespachtelten Stellen kommt nochmal weißer Spray (so erkennt der Bearbeiter morgen welche Stellen gespachtelt wurden). Am nächsten Morgen wird die  gespachtelte Stelle mit Klotz abgeschliffen (an Klotz ist wieder kein Absauger angeschlossen), beim restlichen Bauteil wird der Füller  angeschliffen. Geschliffenes Pulver landet auf dem Boden bzw. wird mit Druckluft weggeblasen. Im nächsten Schritt wird das gesamte Bauteil nochmal mit 500 und 800 Schleifscheibe geschliffen (trocken oder nass). Dann werden mit Handschleifpapier die Stellen geschliffen an die er mit der Maschine nicht dran gekommen ist. (erst 600 er (pink siehe Bild), dann mit blauem nochmal alles)</t>
  </si>
  <si>
    <t>180 + 840 Wartezeit (14 h: Annahme Wartezeit von 17 Uhr bis 7 Uhr)
Arbeitszeit Tag 1: 2 h (bis Auftragen weißes Spray)
Arbeitszeit Tag 2: 1 h</t>
  </si>
  <si>
    <t>Nach dem Auftragen der Grundierung muss stets bis zum nächsten Tag mit den Anschlussarbeiten gewartet werden</t>
  </si>
  <si>
    <r>
      <t>Annahme: benötigte Fläche: 2 m * 2 m = 4m</t>
    </r>
    <r>
      <rPr>
        <vertAlign val="superscript"/>
        <sz val="10"/>
        <rFont val="Frutiger 45 Light"/>
        <family val="2"/>
      </rPr>
      <t>2</t>
    </r>
  </si>
  <si>
    <t>Elektrizität (Schleifmaschine)</t>
  </si>
  <si>
    <t>Berechnung: (0,2*180*950+0,8*180*1,7)/(1000*60)</t>
  </si>
  <si>
    <t>Elektrizität (Heißluftföhn)</t>
  </si>
  <si>
    <t>Berechnung: (10*1400)/(1000*60)</t>
  </si>
  <si>
    <t>Elektrizität (Licht, Absauganlage Halle)</t>
  </si>
  <si>
    <t>Druckluft (Wegblasen Pulver, Auftragen der Grundierung und Vorgrundierung)</t>
  </si>
  <si>
    <t>l</t>
  </si>
  <si>
    <t>Nutzungszeit:
- Auftragen Vorgrundierung und Füller: 4min
- ca. 0,5 min Wegblasen Pulver
Druckluftwerte: 
- exemplarischer Luftdurchsatz Lackierpistole: 2 bar, 300 l/min (https://www.kompressorcheck.de/lackierpistole/#:~:text=Normale%20Lackierpistolen%20weisen%20einen%20Luftverbrauch,%2D200%20l%2Fmin%20auf.)
- exemplarischer Luftdurchsatz Druckluftpistole: 6 bar, 20 m3/h -&gt; 333 l/min (https://www.prevost.de/prevos1-blaspistole-mit-metallduese-2976)</t>
  </si>
  <si>
    <t>market for compressed air, 600 kPa gauge | compressed air, 600 kPa gauge | Cutoff, S - RER</t>
  </si>
  <si>
    <t>Handschleifblock-Aufsatz</t>
  </si>
  <si>
    <t>Aufsatz nach diesem Prozessschritt noch wie neu
Annahme: hält 10 solcher Anwendungen
Gewicht pro Aufsatz: 10,074 g</t>
  </si>
  <si>
    <t>Schleifscheibe (180, 240, 320)</t>
  </si>
  <si>
    <t>5 Scheiben pro Instandsetzung Stoßfänger, verschiedene Größen (180, 240, 320)
Gewicht 120 (neu): 5,5 g
Gewicht 180 (neu): 5,9 g
Gewicht 320 (neu): 5,5 g
Druchschnitt-Gewicht neu: 5,6 g</t>
  </si>
  <si>
    <t>Schleifscheibe (400, 500)</t>
  </si>
  <si>
    <t>10 x 500, 1x 400</t>
  </si>
  <si>
    <t>Schleifschwamm</t>
  </si>
  <si>
    <t>für Stellen an die man mit  Maschine nicht kommt
Gewicht Schleifschwamm benutzt: 7,8 g</t>
  </si>
  <si>
    <t>Cleaner (säubern)/Silikonentferner</t>
  </si>
  <si>
    <t>Organic solvent als Silikonreiniger;
10 Sprühstöße; 1 Sprühstoß mit reinem Wasser entspricht 0,9 Gramm
Annahme: Dichte Silikonreiniger = Dichte Wasser.</t>
  </si>
  <si>
    <t>market for solvent, organic | solvent, organic | Cutoff, U - GLO</t>
  </si>
  <si>
    <t xml:space="preserve">Lappen (Stoff) </t>
  </si>
  <si>
    <t>Annahme: wird für 10 Anwendungen benutzt.
Werden die Stofflappen gewaschen und wiederverwendet?
Gewicht ein Tuch: 10 kg/350Stück = 0,02857 kg (https://www.esska.de/shop/Putztuch-dunkelbunt-und-rohweiss-Zugeschnitten-38-x-38-cm-Material-Baumwolle-Gewicht-10-kg-VE-350-Stueck-Preis-per-Pack--90517060401X-16680?hlid=905170604010)</t>
  </si>
  <si>
    <t>market for textile, woven cotton | textile, woven cotton | Cutoff, U - GLO</t>
  </si>
  <si>
    <t>Siehe Bilder</t>
  </si>
  <si>
    <t>Härter Spachtelmasse</t>
  </si>
  <si>
    <t>viel wenn kalt, wenig wenn warm
Laut technischem Datenblatt: 2% der Spachtelmasse
http://sdstds.shcolor.info/Doc/TDS/DE/DE%202035A.pdf</t>
  </si>
  <si>
    <t>Kunststoffspachtel</t>
  </si>
  <si>
    <t>"Japanspachtel" Annahme: werden 50 mal benutzt, Material PP
4er Set wiegt 44 g (https://www.bauhaus.info/spachtel-schaber/pariere-japanspachtel-set/p/11134762) -&gt; 11 g pro Spachtel</t>
  </si>
  <si>
    <t>Schwarzes Kontroll Pulver</t>
  </si>
  <si>
    <r>
      <t xml:space="preserve">Annahme: </t>
    </r>
    <r>
      <rPr>
        <b/>
        <sz val="10"/>
        <rFont val="Frutiger 45 Light"/>
        <family val="2"/>
      </rPr>
      <t>vernachlässigt</t>
    </r>
  </si>
  <si>
    <t>Klebeband</t>
  </si>
  <si>
    <r>
      <t>Hinterer Teil des Stoßfängers wird abgeklebt, da dieser nicht mit lackiert wird</t>
    </r>
    <r>
      <rPr>
        <b/>
        <sz val="10"/>
        <rFont val="Frutiger 45 Light"/>
        <family val="2"/>
      </rPr>
      <t xml:space="preserve">
Klebeband: 
</t>
    </r>
    <r>
      <rPr>
        <sz val="10"/>
        <rFont val="Frutiger 45 Light"/>
        <family val="2"/>
      </rPr>
      <t>- Länge 100 cm (vor Ort gemessen)
- Breite: 3,8 cm 
- Gewicht (gemessen): 0,4 g (L x B: 11,88 cm x 3,8 cm = 45,144 cm</t>
    </r>
    <r>
      <rPr>
        <vertAlign val="superscript"/>
        <sz val="10"/>
        <rFont val="Frutiger 45 Light"/>
        <family val="2"/>
      </rPr>
      <t xml:space="preserve">2 </t>
    </r>
    <r>
      <rPr>
        <sz val="10"/>
        <rFont val="Frutiger 45 Light"/>
        <family val="2"/>
      </rPr>
      <t>-&gt; 0,00886 g/cm</t>
    </r>
    <r>
      <rPr>
        <vertAlign val="superscript"/>
        <sz val="10"/>
        <rFont val="Frutiger 45 Light"/>
        <family val="2"/>
      </rPr>
      <t>2</t>
    </r>
    <r>
      <rPr>
        <sz val="10"/>
        <rFont val="Frutiger 45 Light"/>
        <family val="2"/>
      </rPr>
      <t xml:space="preserve">
- Volumen: (Dicke (Literatur) 110 um -&gt; 0,011 cm) 0,496584 cm3 -&gt; 0,81 g/cm3 (In Literatur: 0,64 g/cm3)</t>
    </r>
  </si>
  <si>
    <t>Fläche: 100*20 = 2000cm2 -&gt; 0,2m2
Dichte 80 g/m2 -&gt; 0,8 g/cm3</t>
  </si>
  <si>
    <t>market for kraft paper | kraft paper | Cutoff, U - RER</t>
  </si>
  <si>
    <t>Kunststoffeinsatz für Messbecher</t>
  </si>
  <si>
    <t>Einen für Vorgrundierung, einen für Füller
2 Stück werden verwendet
Je 8,4 g LDPE pro Becher</t>
  </si>
  <si>
    <t>Vorgrundierung</t>
  </si>
  <si>
    <t>ml</t>
  </si>
  <si>
    <t>Wert wurde in Werkstatt gemessen/abgefragt</t>
  </si>
  <si>
    <t>Modellierung mir gleichem Datensatz wie Füller</t>
  </si>
  <si>
    <t>schwarzer Füller</t>
  </si>
  <si>
    <t>Wert wurde in Werkstatt gemessen/abgefragt
Dichte Grundierung (berechnet nach technischen Datenblättern): 1,36 g/ml
(https://eshop.spieshecker.com/refinish/de_ch/permasolidr-hs-premium-surfacer-5310-32664.html; https://eshop.spieshecker.com/refinish/de_de/permasolidr-hs-hardener-3310-17043.html; https://eshop.spieshecker.com/refinish/de_de/permacronr-reducer-3380-17147.html)</t>
  </si>
  <si>
    <t>Modellierungen mit gleichem Datensatz wie Vorgrundierung</t>
  </si>
  <si>
    <t>Härter Füller</t>
  </si>
  <si>
    <t>gleich wie bei Stoßfänger, da auch Lackmenge identisch
- Wert wurde in Werkstatt gemessen/abgefragt
- Laut technischem Datenblatt des Füllers dürften es nur 34 g sein</t>
  </si>
  <si>
    <t>Annahme: Ist in Datensatz von Füller bereits enthalten</t>
  </si>
  <si>
    <t>Verdünnung</t>
  </si>
  <si>
    <t>Wert wurde in Werkstatt gemessen/abgefragt
Laut technischem Datenblatt des Füllers dürften es nur 16 g sein</t>
  </si>
  <si>
    <t>Wasser</t>
  </si>
  <si>
    <t>Säubern mit Schlauch ca. 1 min; 
Durchlaufmenge ca. 18 l/min (https://www.eea.europa.eu/de/green-tips/the-water-hose-in-your-garden-can-release-as-much-as-18-litres-of-water-a-minute#:~:text=Durch%20den%20Wasserschlauch%20im%20Garten,%E2%80%94%20Europ%C3%A4ische%20Umweltagentur)</t>
  </si>
  <si>
    <t>market for tap water | tap water | Cutoff, U - Europe without Switzerland</t>
  </si>
  <si>
    <t>für Lackierung vorbereitete Stoßstange</t>
  </si>
  <si>
    <t>Spachtelabrieb (Schleifen)</t>
  </si>
  <si>
    <t>Annahme: 60 % konnten gesammelt und gewogen werden. Gesammelte Menge enthält 10 % Verschmutzung: (18,9/0,6)-0,1*(18,9/0,6)</t>
  </si>
  <si>
    <t>treatment of municipal solid waste, incineration | municipal solid waste | Cutoff, S - DE</t>
  </si>
  <si>
    <t>Abrieb Füller</t>
  </si>
  <si>
    <t>[g/Output]</t>
  </si>
  <si>
    <t>Annahme: 60 % konnten gesammelt und gewogen werden. Gesammelte Menge enthält 10 % Verschmutzung: (2,6/0,6)-0,1*(2,6/0,6)</t>
  </si>
  <si>
    <t>Abrieb Lack</t>
  </si>
  <si>
    <t>wird vernachlässigt</t>
  </si>
  <si>
    <t>Abfall Aufsatz Handschleifblock (anteilig)</t>
  </si>
  <si>
    <t>Abfalll Schleifscheibe (180, 240, 320)</t>
  </si>
  <si>
    <t>5 Scheiben pro Instandsetzung Stoßfänger, verschiedene Größen (180, 240, 320)
Gewicht 120 (benutzt): 7,3 g
Gewicht 180 (benutzt): 5,8 g
Durchschnitssgewicht benutzt: 6,55 g</t>
  </si>
  <si>
    <t>Abfall Schleifscheibe (400, 500)</t>
  </si>
  <si>
    <t>Abfall Schleifschwamm</t>
  </si>
  <si>
    <t>Abfall Lappen (anteilig)</t>
  </si>
  <si>
    <t>Abfall Kunststoffspachtel (anteilig)</t>
  </si>
  <si>
    <t>verschmutztes Wasser</t>
  </si>
  <si>
    <t>market for wastewater, average | wastewater, average | Cutoff, S - Europe without Switzerland</t>
  </si>
  <si>
    <t>verschmutzter Kunststoffeinsatz für Messbecher</t>
  </si>
  <si>
    <t>Einen für Vorgrundierung, einen für Füller
Je 8,4 g LDPE + Verschmutzung -&gt; Sonderabfall</t>
  </si>
  <si>
    <t>treatment of hazardous waste, hazardous waste incineration | hazardous waste, for incineration | Cutoff, S - Europe without Switzerland</t>
  </si>
  <si>
    <t>Abfall Klebeband (Markierung)</t>
  </si>
  <si>
    <t>VOC-Emissionen</t>
  </si>
  <si>
    <r>
      <rPr>
        <b/>
        <sz val="11"/>
        <color theme="1"/>
        <rFont val="Calibri"/>
        <family val="2"/>
        <scheme val="minor"/>
      </rPr>
      <t xml:space="preserve">Einzelne Lackschichten, ihre Funktionsweise und
durchschnittlicher VOC-Wert (g/l) der konventionellen Systeme
</t>
    </r>
    <r>
      <rPr>
        <sz val="10"/>
        <rFont val="Arial"/>
        <family val="2"/>
      </rPr>
      <t xml:space="preserve">-&gt; Grundierung -  Korrosionsschutz  700-850
-&gt; Füller - Ausgleich von Unebenheiten 500-600
-&gt; Dichte Füller = 1,36 g/ml
Kohlenwasserstoffe, Alkohole, Aldehyde und organische Säuren
</t>
    </r>
    <r>
      <rPr>
        <b/>
        <sz val="11"/>
        <color theme="1"/>
        <rFont val="Calibri"/>
        <family val="2"/>
        <scheme val="minor"/>
      </rPr>
      <t>Filter (Material wird vernachlässigt)</t>
    </r>
    <r>
      <rPr>
        <sz val="10"/>
        <rFont val="Arial"/>
        <family val="2"/>
      </rPr>
      <t xml:space="preserve">
Material: Polyesterfaser, Karton
Lebensdauer:
Speicherkapazität: 5 - 15 kg, je nach Dichte des Lackes
</t>
    </r>
    <r>
      <rPr>
        <sz val="10"/>
        <rFont val="Arial"/>
        <family val="2"/>
      </rPr>
      <t>Abscheidegrad: nach ASHRAE-Standardnorm 90-98 %</t>
    </r>
  </si>
  <si>
    <t>Entwicklung eines praxisorientierten Leitfadens
zum verbesserten Einsatz von Wasserbasislacken
in kleinen und mittleren Unternehmen der
KFZ- Reparaturlackierung, O. Rentz, N. Avci, N. Peters, J. Geldermann, Deutsch- Französisches Institut für Umweltforschung (DFIU), Im Auftrag des
Ministeriums für Umwelt und Verkehr Baden- Württemberg, Karlsruhe, im Dezember 2000 
https://www.umweltbundesamt.de/themen/gesundheit/umwelteinfluesse-auf-den-menschen/chemische-stoffe/fluechtige-organische-verbindungen#was-sind-die-quellen-fur-voc 
https://cdn.buyingselling.eu/assets/media/catalogs/ralmont-ptw-gmbh.pdf
https://www.filtermatten.de/papierfilter_ci-filter 
ISO 12219-4 : 2013</t>
  </si>
  <si>
    <r>
      <rPr>
        <b/>
        <sz val="10"/>
        <rFont val="Arial"/>
        <family val="2"/>
      </rPr>
      <t>Quellen:</t>
    </r>
    <r>
      <rPr>
        <sz val="10"/>
        <rFont val="Arial"/>
        <family val="2"/>
      </rPr>
      <t xml:space="preserve">
- Entwicklung eines praxisorientierten Leitfadens zum verbesserten Einsatz von Wasserbasislacken in kleinen und mittleren Unternehmen der
KFZ- Reparaturlackierung, O. Rentz, N. Avci, N. Peters, J. Geldermann, Deutsch- Französisches Institut für Umweltforschung (DFIU), Im Auftrag des
Ministeriums für Umwelt und Verkehr Baden- Württemberg, Karlsruhe, im Dezember 2000 
- https://www.umweltbundesamt.de/themen/gesundheit/umwelteinfluesse-auf-den-menschen/chemische-stoffe/fluechtige-organische-verbindungen#was-sind-die-quellen-fur-voc 
- https://cdn.buyingselling.eu/assets/media/catalogs/ralmont-ptw-gmbh.pdf
- https://www.filtermatten.de/papierfilter_ci-filter 
- ISO 12219-4 : 2013</t>
    </r>
  </si>
  <si>
    <t>zusätzlich verwendete Maschinen/Materialien</t>
  </si>
  <si>
    <t>Schleifmaschine (Festool, 1200 W)</t>
  </si>
  <si>
    <t>Läuft ca. 20 % der Bearbeitungszeit (ohne Wartezeit). Gemessene Leistungsaufnahme 950 Watt, 1,7 W im Standby</t>
  </si>
  <si>
    <t>elektrisch mit Abzug (wie Staubsauger), trotzdem teileweise Staubrückstände auf Bauteil und Boden (aber deutlich weniger als wenn ohne Maschine geschliffen wird),  Filter/Beutel (siehe Bilder) hält 1 bis 2 Monate</t>
  </si>
  <si>
    <t>Handschleifblock</t>
  </si>
  <si>
    <t xml:space="preserve">Zum Abschleifen der Spachtelmasse, Aufsatz nach einem mal Abschleifen noch wie neu. Block könnte an Abzug angeschlossen werden, wird jedoch in Praxis oft nicht gemacht. </t>
  </si>
  <si>
    <t xml:space="preserve">Heißluftföhn 440 Grad </t>
  </si>
  <si>
    <t>Risse Kleben (kein Einsatz von Kleber) -&gt; nimmt ca. 1400 W (siehe Video) und läuft insgesamt ca 10 min</t>
  </si>
  <si>
    <t>Metallspachtel</t>
  </si>
  <si>
    <t>er benutzt sie bereits seit 2 Jahren sind noch gut</t>
  </si>
  <si>
    <t>Atemmaske</t>
  </si>
  <si>
    <t>hält 5 Monate</t>
  </si>
  <si>
    <t>Kunststoff Messbecher</t>
  </si>
  <si>
    <t>Hält ca. 1 Monat, jeder verwendet Messbecher 5 mal am Tag, Auf dem Schrank stehen ca. 30 Stück</t>
  </si>
  <si>
    <t>Kleben + Trocknen</t>
  </si>
  <si>
    <t>zu klebende Stoßstange</t>
  </si>
  <si>
    <t>Kleber</t>
  </si>
  <si>
    <t>Gewebe</t>
  </si>
  <si>
    <t>Infrarot Trockner?</t>
  </si>
  <si>
    <t>Elektrizität (Licht, Heizung, Trockner)</t>
  </si>
  <si>
    <t>geklebte und nachbearbeitete Stoßstange</t>
  </si>
  <si>
    <t>Kleberreste</t>
  </si>
  <si>
    <t xml:space="preserve">Gase? </t>
  </si>
  <si>
    <t>3. Lackieren + Nachbearbeitung (Polieren)</t>
  </si>
  <si>
    <t>Sie haben zwei Kabinen, eine Kombikabine (Lackieren, Trocknen sequentiell) und eine wo beides parallel geht. Trocknung bei ca. 55 Grad. Trocknung auch bei Lackierung am Auto. Bei Elektroauto keine direkte Trockung, es wird über Nacht stehen gelassen. Trocknung generell nicht notwendig, stehen lassen würde auch gehen, so jedoch schneller.
Farbe auslesen und anmischen: Gesamtdauer ca. 30 min. -&gt; Farbe wird mit Gerät ausgelesen. Dann macht Software Vorschläge. Farbe wird ausgewählt. Farbe wird gemischt (meist per Hand theoretisch aber auch mit Maschine mischbar). Musterblech wird erstellt. Wenn alles passt wirds aufgespritzt.  (Von Farbzusammensetzung für unsere Farbe habe ich ein Bild gemacht) Es wurden für einen Stoßfänger ca. 300 g gemischt. 
Lackieren: Zeiten: 7 -  10 min lackieren der Stoßfänger. dann 15 min ablüften da Wasserlack. Dann 2 Gänge Klarlack jeweils 7- 10 min (insgesamt 250 g) mit min. 5 min abluftzeit. Dann 35 min in Trockenraum. Hier passen ca. 4 Stoßfänger rein. (Hier wird ein Auto + 2 Stoßfänger gleichzeitig getrocknet)
Polieren: ca. 30 - 35 min. Polieraufsatz hält 1 Monat. Er kommt mit 1 L Politur ca. 2 Monate aus und macht ca. 8 Politurarbeiten am Tag</t>
  </si>
  <si>
    <t>einer für Anmischen, einer für Lackieren, einer für Polieren</t>
  </si>
  <si>
    <t>30 (Anmischen) + 10 (Musterblech) + 7 Lackieren + 15 ablüften + 14 Klarlack + 10 ablüften + 35 Trockenraum + 35 Polieren</t>
  </si>
  <si>
    <t>Elektrizität (Poliermaschine)</t>
  </si>
  <si>
    <t>Berechnung: (0,9*35*110)/(1000*60)</t>
  </si>
  <si>
    <t>Elektrizität (Licht, Lackierkabine, Trocknungsraum, PC)</t>
  </si>
  <si>
    <r>
      <t>Top Down (links)</t>
    </r>
    <r>
      <rPr>
        <sz val="10"/>
        <rFont val="Frutiger 45 Light"/>
        <family val="2"/>
      </rPr>
      <t>: aktuell berechnt über Kostenkalkulationen und Bearbeitungszeit</t>
    </r>
  </si>
  <si>
    <t>Gas (Heizung, Trocknungskabine)</t>
  </si>
  <si>
    <t>Druckluft (Lackieren)</t>
  </si>
  <si>
    <t>Nutzungszeit:
- 7+14 = 21 min, Annahme: Lackierpistole läuft tatsächlich 80 % der Lackierzeit -&gt; 16,8 min
Druckluftwerte: 
- exemplarischer Luftdurchsatz Lackierpistole: 2 bar, 300 l/min (https://www.kompressorcheck.de/lackierpistole/#:~:text=Normale%20Lackierpistolen%20weisen%20einen%20Luftverbrauch,%2D200%20l%2Fmin%20auf.)</t>
  </si>
  <si>
    <t>Musterblech</t>
  </si>
  <si>
    <t>Alu-Musterblech, Gewicht: 15,5 Gramm, (Annahme: in 80 % reicht eins + in 15 % zwei + in 3 % 3 + in 2% 4)</t>
  </si>
  <si>
    <t>g</t>
  </si>
  <si>
    <t>38,6 % Systemkomponente A; 13,9 % Perlleuchtblau; 12 % Dunkelblau; 5,4 % Transparent Tiefblau; 4,6 % Spezialschwarz; 4 % Transparent Grün; 2,9 % Flop Control; 1,5 % Brilliantsilber; 0,7 % Lasurweiß; 16,3 % WT Additive 6050
Dichte : 1,028 g/ml (https://eshop.spieshecker.com/refinish/de_de/permahydr-base-coat-280-285-286-16184.html)</t>
  </si>
  <si>
    <t>Klarlack</t>
  </si>
  <si>
    <t>Dichte: 0,982 g/ml (https://eshop.spieshecker.com/refinish/de_de/permasolidr-hs-clear-coat-8055-16967.html)</t>
  </si>
  <si>
    <t>Schutzanzug für MA</t>
  </si>
  <si>
    <t>1 Anzug pro Woche, 5 Tage die Woche, 8 Bauteile am Tag, 4 Lackierer -&gt; (5*8)/4=10 -&gt; 1/10 Schutzanzug pro Bauteil
Gewicht pro Schutzanzug: 124 g (https://www.bauhaus.info/schutzanzuege/einweg-schutzanzug-mit-kapuze/p/20280022)</t>
  </si>
  <si>
    <t>market for textile, nonwoven polyester | textile, nonwoven polyester | Cutoff, U - GLO</t>
  </si>
  <si>
    <t>Politur grob</t>
  </si>
  <si>
    <t>Annahme: durchschnittlich 21 Arbeitstage pro Monat:
Verbrauch: 1L/(8*21*2)</t>
  </si>
  <si>
    <t>Politur fein</t>
  </si>
  <si>
    <t>gleicher Datensatz wie für Politurpaste grob</t>
  </si>
  <si>
    <t>lackiertes Musterblech</t>
  </si>
  <si>
    <t>mit Lack verschmutzt</t>
  </si>
  <si>
    <t>Abfall Papier zum Abkleben mit Lackrückständen</t>
  </si>
  <si>
    <t>Sondermüll
- Größe 0,2 m2
- Dichte 80 g/m2 -&gt; 0,8 g/cm3</t>
  </si>
  <si>
    <t>Abfall Klebeband mit Lackrückständen</t>
  </si>
  <si>
    <t>Sondermüll</t>
  </si>
  <si>
    <t>Abfall Schutzanzug MA</t>
  </si>
  <si>
    <r>
      <rPr>
        <b/>
        <sz val="11"/>
        <color theme="1"/>
        <rFont val="Calibri"/>
        <family val="2"/>
        <scheme val="minor"/>
      </rPr>
      <t xml:space="preserve">Einzelne Lackschichten, ihre Funktionsweise und
durchschnittlicher VOC-Wert (g/l) der konventionellen Systeme
</t>
    </r>
    <r>
      <rPr>
        <sz val="10"/>
        <rFont val="Arial"/>
        <family val="2"/>
      </rPr>
      <t xml:space="preserve">-&gt; Basislack (Vorlack) - Farbgebung (Effekt-oder Uni-) 800-850
-&gt; Klarlack - Erhöhung der Beständigkeit 600-650
-&gt; Dichte Decklack = 1,028 g/ml, Dichte Klarlack = 0,982 g/ml
Kohlenwasserstoffe, Alkohole, Aldehyde und organische Säuren
</t>
    </r>
    <r>
      <rPr>
        <b/>
        <sz val="11"/>
        <color theme="1"/>
        <rFont val="Calibri"/>
        <family val="2"/>
        <scheme val="minor"/>
      </rPr>
      <t>Filter (Material wird vernachlässigt)</t>
    </r>
    <r>
      <rPr>
        <sz val="10"/>
        <rFont val="Arial"/>
        <family val="2"/>
      </rPr>
      <t xml:space="preserve">
Material: Polyesterfaser, Karton
Lebensdauer:
Speicherkapazität: 5 - 15 kg, je nach Dichte des Lackes
</t>
    </r>
    <r>
      <rPr>
        <sz val="10"/>
        <rFont val="Arial"/>
        <family val="2"/>
      </rPr>
      <t>Abscheidegrad: nach ASHRAE-Standardnorm 90-98 %</t>
    </r>
  </si>
  <si>
    <t>Gerät zum Auslesen der Farben</t>
  </si>
  <si>
    <t>PC zur Bestimmung der Lackzusammensetzung</t>
  </si>
  <si>
    <t>Lackierkabine inkl. Trocknungsraum</t>
  </si>
  <si>
    <t>Lackierpistole</t>
  </si>
  <si>
    <t>Poliermaschine</t>
  </si>
  <si>
    <t>läuft ca. 90 % der Bearbeitungszeit mit 110 Watt. Polieraufsatz wird lange verwendet</t>
  </si>
  <si>
    <t>Atemschutzmaske</t>
  </si>
  <si>
    <t>4. Montage</t>
  </si>
  <si>
    <t xml:space="preserve"> </t>
  </si>
  <si>
    <t>Kaum Anbauteile (des Stoßfängers selbst) müssen demontiert werden</t>
  </si>
  <si>
    <t>ohne Probefahrt</t>
  </si>
  <si>
    <r>
      <t>Annahme: benötigte Fläche: 5 m * 4 m = 20m</t>
    </r>
    <r>
      <rPr>
        <vertAlign val="superscript"/>
        <sz val="10"/>
        <rFont val="Frutiger 45 Light"/>
        <family val="2"/>
      </rPr>
      <t>2</t>
    </r>
  </si>
  <si>
    <r>
      <t xml:space="preserve">Wird zum Lösen andrehen der Schrauben verwendet.
</t>
    </r>
    <r>
      <rPr>
        <b/>
        <sz val="10"/>
        <rFont val="Frutiger 45 Light"/>
        <family val="2"/>
      </rPr>
      <t>Wird hier vernachlässigt!</t>
    </r>
  </si>
  <si>
    <t>ca. 1 Paar pro Woche und Person, Annahme 7 produktive Stunden pro Tag (420 min) -&gt; 2100 min pro Woche  -&gt; 1/2100 Arbeitshandschuh pro min</t>
  </si>
  <si>
    <t>Austausch Stoßfänger (Neuteil)</t>
  </si>
  <si>
    <t>276 (4,6 h)</t>
  </si>
  <si>
    <t>ohne Fahrzeugannahme und ohne Proberfahrt</t>
  </si>
  <si>
    <t>2 bis 3</t>
  </si>
  <si>
    <t>einer zum abschleifen, einer bis 2 zum lackieren und polieren</t>
  </si>
  <si>
    <t>Ich nehme hier an dass der Ausbau genau so lange dauert wie der Ausbau bei der Reparatur. Die Umbauzeit für die Anbauteile des Stoßfängers berücksichtige ich im Schritt "Montage"</t>
  </si>
  <si>
    <t>Tatsächliches Gewicht in Werkstatt erfragen!!!
2 Stück; werden immer getauscht (siehe Bilder)
Annahme PP</t>
  </si>
  <si>
    <t>Verpackung (Folie PP)</t>
  </si>
  <si>
    <t>2: Vorbereitung Stoßfänger (Neuteil)</t>
  </si>
  <si>
    <t>Teile werden abgeschliffen, teilweise in Halle teilweise draußen. In der gleichen Halle wird auch abgeklebt und es finden  Grundierungsarbeiten statt.
Für das Neuteil wird nur die Grundierung leicht angeschliffen (mit der Hand -&gt; Handschleifblock blau)</t>
  </si>
  <si>
    <t>neue Stoßstange</t>
  </si>
  <si>
    <t>Gewicht: ca. 10 kg (https://www.online-teile.com/volkswagen-ersatzteile/Zubehoer-Infotainment/Diverse/Stossfaengerabdeckung-Hinten:::1_2_1146:9.html?language=de)
HDPE (laut AZT Studie)</t>
  </si>
  <si>
    <t>Elektrizität (Licht)</t>
  </si>
  <si>
    <t>Zum Wegblasen der Pulverrückstände (ca. 0,5 min)
Druckluftwerte:
- exemplarischer Luftdurchsatz Druckluftpistole: 6 bar, 20 m3/h -&gt; 333 l/min (https://www.prevost.de/prevos1-blaspistole-mit-metallduese-2976)</t>
  </si>
  <si>
    <t>Schleifpapier/Schleifschwamm (blau)</t>
  </si>
  <si>
    <t>2 Schwämme für eine Stoßstange
Gewicht Schleifschwamm benutzt: 7,8 g</t>
  </si>
  <si>
    <t>L</t>
  </si>
  <si>
    <t>neue, vorbereitete Stoßstange</t>
  </si>
  <si>
    <t>Staub/Abrieb Grundierung</t>
  </si>
  <si>
    <t>Prozess analog zum Lackieren des alten Stoßfängers, Unterschiede z.B. hier wird nicht abgeklebt</t>
  </si>
  <si>
    <t>neue, vorbereitete Stoßtange</t>
  </si>
  <si>
    <r>
      <t xml:space="preserve">Top Down (links): </t>
    </r>
    <r>
      <rPr>
        <sz val="10"/>
        <rFont val="Frutiger 45 Light"/>
        <family val="2"/>
      </rPr>
      <t>aktuell berechnt über Kostenkalkulationen und Bearbeitungszeit</t>
    </r>
  </si>
  <si>
    <t>[kg/Input]</t>
  </si>
  <si>
    <t>Eine Flasche (1l) hält laut MA 2 Monate
Annahme: durchschnittlich 21 Arbeitstage pro Monat:
Verbrauch: 1L/(8*21*2)
Annahme: Dichte = 1 g/ml</t>
  </si>
  <si>
    <t>gleicher Datensatz wie Polierpaste grob</t>
  </si>
  <si>
    <t>Hier müssen zusätzlich die Anbauteile des alten Stoßfängers umgebaut werden, neue Halterungen für die Sensorik aufgeklebt werden und bspw. evtl. Löcher für Sensorik geschnitten werden.</t>
  </si>
  <si>
    <t>alte Stoßstange</t>
  </si>
  <si>
    <r>
      <t xml:space="preserve">Wird zumandrehen einiger Schrauben verwendet.
</t>
    </r>
    <r>
      <rPr>
        <b/>
        <sz val="10"/>
        <rFont val="Frutiger 45 Light"/>
        <family val="2"/>
      </rPr>
      <t>Wird hier vernachlässigt!</t>
    </r>
  </si>
  <si>
    <t>neue Halterungen für Sensorik (Kunststoff, PP?)</t>
  </si>
  <si>
    <t>Insgesamt 4 Stück
Gewicht pro Halter ca. 7 Gramm</t>
  </si>
  <si>
    <r>
      <t>werden teilweise mit doppelseitigem Klebestreifen geklebt
- Berechnung Kleberfläche: 8cm*3cm-(2,2/2)</t>
    </r>
    <r>
      <rPr>
        <vertAlign val="superscript"/>
        <sz val="10"/>
        <rFont val="Frutiger 45 Light"/>
        <family val="2"/>
      </rPr>
      <t>2</t>
    </r>
    <r>
      <rPr>
        <sz val="10"/>
        <rFont val="Frutiger 45 Light"/>
        <family val="2"/>
      </rPr>
      <t>*pi=20,2 cm2 -&gt; 4*20,2=80,8cm2
- Annahme: Dicke = 1 mm -&gt; 80,8*0,1 = 8,08 cm3 -&gt; 8,08 ml 
- Dichte: 1,4 g/ml (https://www.industrieware.de/2K-MS-Polymer-Klebstoff)
- Datensatz für Metallkleber sollte passen (https://www.industrieware.de/2K-MS-Polymer-Klebstoff)</t>
    </r>
  </si>
  <si>
    <t>market for adhesive, for metal | adhesive, for metal | Cutoff, S - RER</t>
  </si>
  <si>
    <t>alter defekter Stoßfänger (HDPE)</t>
  </si>
  <si>
    <t>Wird hier Recyclingszenario wegen Cut-Off ebenfalls nicht berücksichtigt?</t>
  </si>
  <si>
    <t>Schneidewerkzeug für Sensorlöcher</t>
  </si>
  <si>
    <t>Nur wenn nicht von Werk aus vorgesehen; z.B. bei VW, hier fällt dann auch Abfall an</t>
  </si>
  <si>
    <t xml:space="preserve">Stoßfänger (Skoda, Hundai) -&gt; nackter Kunststoff von Werk </t>
  </si>
  <si>
    <t>Vorbereitung Neuteil</t>
  </si>
  <si>
    <t>Auf Beschädigungen kontrollieren, mit Hand anschleifen (blauer Schwamm) + Abwaschen mit Kunststoff verdünner (150 - 200 ml) -&gt; 20 min .wenn alles ok ist danach Tempern (30 min), dann mit Silikonreiniger reinigen (10 min) dann Nass in Nass Lackieren (Grundieren und direkt danach Lackieren in gleicher Kabine -&gt; er sagt 15 min Grundieren, 15 min Warten, dann normal Lackierprozess wie bei anderen Stoßfängern)</t>
  </si>
  <si>
    <t xml:space="preserve">Wenn zu große Beschädigungen -&gt; Tempern (30 min),  Neu Füllern/Grundieren und eine Nacht stehen lassen, dann anschleifen dann lackieren  (quasi analog zur Lackvorbereitung beim Reparieren ) Verhältnis ca 50 /50 </t>
  </si>
  <si>
    <t>Reparatur Autotür (Instandsetzung)</t>
  </si>
  <si>
    <t>Daten kleinerer Schaden</t>
  </si>
  <si>
    <t>Skoda Fabia</t>
  </si>
  <si>
    <t>ohne Fahrzeugannahme und ohne Probefahrt
davon Arbeitszeit: 611 min
davon Wartezeit: 840 min</t>
  </si>
  <si>
    <t>einen für Metallarbeiten, einen für Spachtelarbeiten und einen für Lackieren/Polieren</t>
  </si>
  <si>
    <t>Bei Neuteil müssen Anbauteile z.B. der Innenverkleidung etc. umgebaut werden, Je nach Schaden findet Lackierung bei alter Tür auch im eingebauten Zustand statt.</t>
  </si>
  <si>
    <t>Berücksichtigung Infrastruktut (Halle)</t>
  </si>
  <si>
    <t>Laut Datensatz steht Halle 50 Jahre -&gt; 438.000 h -&gt; 26.280.000 min
Beanspruchung: (m2/26.280.000 min)*min</t>
  </si>
  <si>
    <t>zusätzlich zu erstellende Datensätze:</t>
  </si>
  <si>
    <t>Reinigungsmittel</t>
  </si>
  <si>
    <t>Primer</t>
  </si>
  <si>
    <t>Decklack</t>
  </si>
  <si>
    <t>Politur</t>
  </si>
  <si>
    <t>Handschuhe</t>
  </si>
  <si>
    <t>Schleifscheibe</t>
  </si>
  <si>
    <t>Aufsatz Schleifblock</t>
  </si>
  <si>
    <t>Schleifschwamm/Schleifpad</t>
  </si>
  <si>
    <t>Aufsatz Winkelschleifer</t>
  </si>
  <si>
    <t>Schutzanzug MA</t>
  </si>
  <si>
    <t>Stofflappen</t>
  </si>
  <si>
    <t>1. Demonatge defekte Tür</t>
  </si>
  <si>
    <t xml:space="preserve">Metallarbeiten an Tür (rausziehen etc.), Spachtelarbeiten und in manchen Fällen auch die Lackierarbeiten finden im eingebauten Zustand statt. Somit werden Türgriff (außen), Zierleiste außen und Teile der Türinnenverkleidung ausgebaut. </t>
  </si>
  <si>
    <t xml:space="preserve">Bei kleinerem Schaden werden keine Anbauteile demontiert. Es wird direkt mit Anschleifen der betroffenen Stelle begonnen </t>
  </si>
  <si>
    <t>Elektrizität (Licht, Werkzeug)</t>
  </si>
  <si>
    <t>Demontierte Anbauteile</t>
  </si>
  <si>
    <t>Auto mit vorbereiteter Tür</t>
  </si>
  <si>
    <t>zusätzlich benutzte Maschinen/Materialien</t>
  </si>
  <si>
    <t>2: Reparatur - Metallarbeiten</t>
  </si>
  <si>
    <t>Abschleifen der betroffenen Stellen mit Druckluftbetriebenem Winkelschleifer. Für Metallarbeiten: Tür bleibt eingebaut. Dann werden Metallstifte zum Rausziehen angeschweißt (Punkten). Stab wird durch Öffnungen in Stiften gesteckt und Vorrichtung zum Rausziehen eingehangen. Dann raushebeln. Immer wieder Punkten und rausziehen. Auch Vorrichtung zum direkten Punkten und rausziehen ohne vorher Stifte anbringen zu müssen. Erst Kante dann ganze Fläche. Fläche wird mit Handfeile kurz angeschliffen so werden die Stellen sichtbar die noch nicht genug rausgezogen wurden. Dieser Vorgang wird immer wieder wiederholt. Tür bleibt für nächsten Schritt zunächst eingebaut.</t>
  </si>
  <si>
    <t>Elektrizität Schweißgerät</t>
  </si>
  <si>
    <r>
      <rPr>
        <b/>
        <sz val="10"/>
        <rFont val="Frutiger 45 Light"/>
        <family val="2"/>
      </rPr>
      <t>Leistungsaufnahme Schweißgerät</t>
    </r>
    <r>
      <rPr>
        <sz val="10"/>
        <rFont val="Frutiger 45 Light"/>
        <family val="2"/>
      </rPr>
      <t xml:space="preserve"> ca. 3,5 KW (220 V * 16 A) (Quelle: https://carbon.ag/wp-content/uploads/storage/pdfs/produktinfo/carbon_produktinfo_2022_de_122_web.pdf, S.21)
</t>
    </r>
    <r>
      <rPr>
        <b/>
        <sz val="10"/>
        <rFont val="Frutiger 45 Light"/>
        <family val="2"/>
      </rPr>
      <t>Nutzung Schweißgerät</t>
    </r>
    <r>
      <rPr>
        <sz val="10"/>
        <rFont val="Frutiger 45 Light"/>
        <family val="2"/>
      </rPr>
      <t xml:space="preserve"> ca. 1,5 h -&gt; Wegen Punktschweißen nur 50 % davon in Betrieb -&gt; 0,75 h (45 min)</t>
    </r>
  </si>
  <si>
    <t>Gas (Heizung etc.)</t>
  </si>
  <si>
    <r>
      <rPr>
        <b/>
        <sz val="10"/>
        <rFont val="Frutiger 45 Light"/>
        <family val="2"/>
      </rPr>
      <t>Abschleifen: ca. 2 min
Infos aus Bild</t>
    </r>
    <r>
      <rPr>
        <sz val="10"/>
        <rFont val="Frutiger 45 Light"/>
        <family val="2"/>
      </rPr>
      <t xml:space="preserve">:
- 80 PSI - 6,2 Bar max
- 20.000 RPM
</t>
    </r>
    <r>
      <rPr>
        <b/>
        <sz val="10"/>
        <rFont val="Frutiger 45 Light"/>
        <family val="2"/>
      </rPr>
      <t xml:space="preserve">Axialschleifmaschine: </t>
    </r>
    <r>
      <rPr>
        <sz val="10"/>
        <rFont val="Frutiger 45 Light"/>
        <family val="2"/>
      </rPr>
      <t>(https://www.spitznas.de/werkzeuge/schleifmaschinen/schleifmaschinen-druckluft/axial-kleinschleifmaschinen/150600010/)
- 0,85 m3/min -&gt; 850 l/min
- Betriebsdruck: 6 bar (600 kPa)
- 20.000 RPM</t>
    </r>
  </si>
  <si>
    <t>Wie eine Art Metallbürste. Hält ca. 10 Anwendungen. Wenn jedoch ein ganzes Seitenteil gemacht wird, dann hält er nur für diese eine Anwendung</t>
  </si>
  <si>
    <t>Schleifscheiben für Winkelschleifer</t>
  </si>
  <si>
    <t>Gewicht neu Scheibe 3,5 g
Gewicht abgenutzte Scheibe 3,4 g</t>
  </si>
  <si>
    <t>instandzusetzende Tür</t>
  </si>
  <si>
    <t>Staub (abgeschliffener Lack)</t>
  </si>
  <si>
    <t>vernachlässigt</t>
  </si>
  <si>
    <t>Staub durch abgeriebenen Lack vernachlässigt</t>
  </si>
  <si>
    <t>Abfall (Aufsatz Winkelschleifer anteilig)</t>
  </si>
  <si>
    <t>treatment of scrap steel, municipal incineration | scrap steel | Cutoff, U</t>
  </si>
  <si>
    <t>Abfall (Schleifscheiben für Winkelschleifer)</t>
  </si>
  <si>
    <t>treatment of municipal solid waste, incineration | municipal solid waste | Cutoff, S</t>
  </si>
  <si>
    <t>Abrieb der Schleifscheiben</t>
  </si>
  <si>
    <t>[Gramm/Output]</t>
  </si>
  <si>
    <t>Particulates, &gt; 2.5 um, and &lt; 10um</t>
  </si>
  <si>
    <t>Abfall (Handschuhe anteilig)</t>
  </si>
  <si>
    <t>Abfall (Papiertücher)</t>
  </si>
  <si>
    <t>treatment of waste paperboard, municipal incineration | waste paperboard | Cutoff, S</t>
  </si>
  <si>
    <t xml:space="preserve">Winkelschleifer (Druckluftbetrieben) </t>
  </si>
  <si>
    <t>läuft 90 % der Bearbeitunsgzeit</t>
  </si>
  <si>
    <t>Schutzbrille mit Ohrschützern</t>
  </si>
  <si>
    <t>Verwendung 1 bis 2 Jahre</t>
  </si>
  <si>
    <t>Metallstifte</t>
  </si>
  <si>
    <t>Können wiederverwendet werden, er sagt er benutzt sie 6 Jahre</t>
  </si>
  <si>
    <t xml:space="preserve">Schweißgerät (Elektro Schweißgerät, mit verschiedenen Aufsätzen für die verschiedenen Arbeiten) </t>
  </si>
  <si>
    <t>Stifte sind zum bsp. wie elektrode, Schweißgerät wurde 80 % der zeit im Punkt-Betrieb genutzt</t>
  </si>
  <si>
    <t>Vorrichtung zu herausziehen an den Stiften</t>
  </si>
  <si>
    <t xml:space="preserve">wird vermutlich sehr lange verwendet </t>
  </si>
  <si>
    <t>Hammer (Metall + Holzgriff)</t>
  </si>
  <si>
    <t>Meißel</t>
  </si>
  <si>
    <t>Handfeile (Metall + Gummigriff)</t>
  </si>
  <si>
    <t xml:space="preserve">Winkelschleifer (Druckluftberieben, anderer als im vorherigen Schritt, bzw. anderer Aufsatz) </t>
  </si>
  <si>
    <t xml:space="preserve">wurde bei diesem Schritt insgesamt ca. 2 min eingesetzt </t>
  </si>
  <si>
    <t>Kontaktspray (High Tef Spray)</t>
  </si>
  <si>
    <t>Ein Spritzer auf Schweiß-Ausziehwerkzeug nach Benutzung.</t>
  </si>
  <si>
    <t>3. Reparatur - Vorbereitung zum Lackieren</t>
  </si>
  <si>
    <t>Spachtelarbeiten finden am Auto im eingebauten Zustand statt. Später lackieren im ausgebauten oder eingebauten Zustand
Spachtelmasse und Härter abgefragt. Annahme: Gleiche Menge an Schleifscheiben etc. wie bei Stoßfänger, sonst Berechnung über Dreisatz auf Basis der Bearbeitungszeit -&gt;  Arbeiten analog zu den Arbeiten an Stoßstange</t>
  </si>
  <si>
    <t>200 + 840 Wartezeit (14 h: Annahme Wartezeit von 17 Uhr bis 7 Uhr)</t>
  </si>
  <si>
    <t>1 stunde</t>
  </si>
  <si>
    <t>er sagt bei diesem Schaden sei es sehr aufwendig:
mindestens 120 nur Spachtel + Schleifen. Grundieren ca. 20 min und dann am nächsten Tag ca. 1 h Schleifen</t>
  </si>
  <si>
    <t>Auto mit Tür nach Metallbearbeitung</t>
  </si>
  <si>
    <t>Berechnung auf Basis der Arbeiten an Stoßfänger</t>
  </si>
  <si>
    <t>Nutzungszeit (berechnet auf Basis von Stoßfäger):
- Auftragen Vorgrundierung und Füller: 4 min (da gleiche Menge wie bei Stoßfänger)
- ca. 0,5 min Wegblasen Pulver
Druckluftwerte: 
- exemplarischer Luftdurchsatz Lackierpistole: 2 bar, 300 l/min (https://www.kompressorcheck.de/lackierpistole/#:~:text=Normale%20Lackierpistolen%20weisen%20einen%20Luftverbrauch,%2D200%20l%2Fmin%20auf.)
- exemplarischer Luftdurchsatz Druckluftpistole: 6 bar, 20 m3/h -&gt; 333 l/min (https://www.prevost.de/prevos1-blaspistole-mit-metallduese-2976)</t>
  </si>
  <si>
    <t>5 Scheiben pro Instandsetzung Stoßfänger (Annahme: hier gleiche Anzahl), verschiedene Größen (180, 240, 320)
Gewicht 120 (neu): 5,5 g
Gewicht 180 (neu): 5,9 g
Gewicht 320 (neu): 5,5 g
Druchschnitt-Gewicht neu: 5,6 g</t>
  </si>
  <si>
    <t>(0,3*(133,7 g - 9,4 g (Pappe))siehe Bild, ohne Härter)</t>
  </si>
  <si>
    <t>hat MA geschätzt</t>
  </si>
  <si>
    <t>Er sagt ca. halbe Packung. Packung hat 50 g somit wahrscheinlich eher 25 - 30 Gramm
laut Produktdateblatt sollte der Härter 2 % der Masse der Spachtelmasse haben</t>
  </si>
  <si>
    <r>
      <t xml:space="preserve">Wird Tür im eingebauten Zustand lackiert, wird um Tür herum mit Klebeband abgeklebt, Fenster wird mit Papier abgeklebt.
Annahme Tür entspricht Rechteck: Abmessungen übernommen von VW Golf (https://www.angurten.de/is/abmessungen/174-Golf+VI/3.htm#abmessungsbilder)
Höhe: 1345 - 89 mm -&gt; 125,6 cm
Breite: 816 mm -&gt; 81,6 cm
Annahme Scheibe entspricht Rechteck: 
Höhe: 927 - 556 mm -&gt; 37,1 cm 
Breite: 71,6 cm (links und rechts 5 cm Rand)
evtl mehr wenn im ausgebauten Zustand lackiert wird
</t>
    </r>
    <r>
      <rPr>
        <b/>
        <sz val="10"/>
        <rFont val="Frutiger 45 Light"/>
        <family val="2"/>
      </rPr>
      <t xml:space="preserve">Klebeband: </t>
    </r>
    <r>
      <rPr>
        <sz val="10"/>
        <rFont val="Frutiger 45 Light"/>
        <family val="2"/>
      </rPr>
      <t xml:space="preserve">
- Breite: 3,8 cm 
- Gewicht (gemessen): 0,4 g (L x B: 11,88 cm x 3,8 cm = 45,144 cm</t>
    </r>
    <r>
      <rPr>
        <vertAlign val="superscript"/>
        <sz val="10"/>
        <rFont val="Frutiger 45 Light"/>
        <family val="2"/>
      </rPr>
      <t xml:space="preserve">2 </t>
    </r>
    <r>
      <rPr>
        <sz val="10"/>
        <rFont val="Frutiger 45 Light"/>
        <family val="2"/>
      </rPr>
      <t>-&gt; 0,00886 g/cm</t>
    </r>
    <r>
      <rPr>
        <vertAlign val="superscript"/>
        <sz val="10"/>
        <rFont val="Frutiger 45 Light"/>
        <family val="2"/>
      </rPr>
      <t>2</t>
    </r>
    <r>
      <rPr>
        <sz val="10"/>
        <rFont val="Frutiger 45 Light"/>
        <family val="2"/>
      </rPr>
      <t xml:space="preserve">
- Volumen: (Dicke (Literatur) 110 um -&gt; 0,011 cm) 0,496584 cm3 -&gt; 0,81 g/cm3 (In Literatur: 0,64 g/cm3)</t>
    </r>
  </si>
  <si>
    <t>2*125,6 cm + 2* 81,6 cm
+ 2* 37,1 cm + 2* 71,6 cm = 631,8</t>
  </si>
  <si>
    <t>evtl. mehr, wenn im ausgebauten Zustand lackiert wird
Dichte 80 g/m2 -&gt; 0,8 g/cm3</t>
  </si>
  <si>
    <t>37,1 * 71,6  = 2656,36  -&gt; 0,265636 m2
market for kraft paper | kraft paper | Cutoff, U - RER</t>
  </si>
  <si>
    <t>Folie zum eindecken des Autos</t>
  </si>
  <si>
    <t>Wenn Teile am Auto lackiert werden, dann wird gesamtes Auto mit Folie bedeckt und nur an der betroffenen Stelle ausgeschnitten. Bei der Reparatur einer defekten Tür kann das Lackieren später sowohl am Auto im eingebauten Zustand als auch im ausgebauten Zustand stattfinden. Wird am Auto lackiert, muss der Einsatz der Folie berücksichtigt werden. Ausgeschnittene Folie wird nicht wieder verwendet
Abmessungen: 
- Auto: Maße Golf 7: 
L: 4199 mm -&gt; 419,9 cm
B: 1786 mm -&gt; 178,6 cm (ohne Spiegel)
H: 1512 mm -&gt; 151,2 cm
-&gt; 2*(178,6*151,2)+2*(419,9*151,2)+(419,9*178,6) = 255980,54 cm2 -&gt; 25,6 m2
-&gt; 255,98 cm3
Folie:
- Anahme Dicke: 10 um (0,001 cm)
- Material LDPE (0,915 g/cm3)</t>
  </si>
  <si>
    <t>2*178*145,9=51940,4
2*410,8*145,9=119871,44
1*410,8*178=73122,4
Gesamt: 244933,84 (24,5 m2)
-&gt; 244,934 cm3
market for packaging film, low density polyethylene | packaging film, low density polyethylene | Cutoff, U - GLO</t>
  </si>
  <si>
    <t>gleich wie bei Stoßfänger, da auch Lackmenge identisch
Wert wurde in Werkstatt gemessen/abgefragt</t>
  </si>
  <si>
    <t>gleich wie bei Stoßfänger, da auch Lackmenge identisch
Wert wurde in Werkstatt gemessen/abgefragt
Dichte Grundierung (berechnet nach technischen Datenblättern): 1,36 g/ml
(https://eshop.spieshecker.com/refinish/de_ch/permasolidr-hs-premium-surfacer-5310-32664.html; https://eshop.spieshecker.com/refinish/de_de/permasolidr-hs-hardener-3310-17043.html; https://eshop.spieshecker.com/refinish/de_de/permacronr-reducer-3380-17147.html)</t>
  </si>
  <si>
    <t>gleich wie bei Stoßfänger, da auch Lackmenge identisch
- Wert wurde in Werkstatt gemessen/abgefragt
- Laut technischem Datenblatt des Füllers dürften es nur 16 g sein</t>
  </si>
  <si>
    <t>Auto mit für Lackierung vorbereiteter Tür</t>
  </si>
  <si>
    <t xml:space="preserve">Mittels Dreisatz über die eingesetzte Spachtelmenge om Vergleich zum Stoßfänger bestimmt: 
(28,35/200)*800=114 g </t>
  </si>
  <si>
    <t>Gleich wie bei Stoßfänger, da gleiche Menge an Füller eingesetzt wird.</t>
  </si>
  <si>
    <t>Ausgeschnitte Folie (abdecken des Autos)</t>
  </si>
  <si>
    <t>Abmessungen Tür (siehe oben): 125,6 cm * 81,6 cm = 10248,96 m2 -&gt; 10,24896 cm3 (Dicke: 10 um); Dichte: 0,915 g/cm3
Dieser Teil der Folie muss nicht über Sondermüll entsorgt werden</t>
  </si>
  <si>
    <t>Infos zur VOC + Quellen in Reiter zu Stoßfänger</t>
  </si>
  <si>
    <t>4. Lackieren + Nachbearbeitung (Polieren)</t>
  </si>
  <si>
    <t>Lack: 250 - 300 g, Polieren dauert ca. 20 min, Lackierung teilweise am Auto, teilweise im ausgebauten Zustand. Wenn im eingebauten Zustand lackiert wird, wird gesamtes Auto in Folie gehüllt. Die Folie wird an der entsprechenden Stelle ausgeschnitten und mit Tape gekebt. Die Kontur wurde dann zuvor schon abgeklebt. Wird im ausgebauten Zustand lackiert müssen ggf. weitere Teile demontiert und mehr Stellen der Tür selbst abgeklebt werden.</t>
  </si>
  <si>
    <t>30 (Anmischen) + 10 (Musterblech) + 7 Lackieren + 15 ablüften + 14 Klarlack + 10 ablüften + 35 Trockenraum + 20 Polieren</t>
  </si>
  <si>
    <r>
      <t>Annahme: benötigte Fläche: 2 m * 5 m = 10m</t>
    </r>
    <r>
      <rPr>
        <vertAlign val="superscript"/>
        <sz val="10"/>
        <rFont val="Frutiger 45 Light"/>
        <family val="2"/>
      </rPr>
      <t>2</t>
    </r>
  </si>
  <si>
    <t>Berechnung: (0,9*20*110)/(1000*60)</t>
  </si>
  <si>
    <t>Nutzungszeit (gleich wie bei Stoßfänger, da gleiche Menge Lack):
- 7+14 = 21 min, Annahme: Lackierpistole läuft tatsächlich 80 % der Lackierzeit -&gt; 16,8 min
Druckluftwerte: 
- exemplarischer Luftdurchsatz Lackierpistole: 2 bar, 300 l/min (https://www.kompressorcheck.de/lackierpistole/#:~:text=Normale%20Lackierpistolen%20weisen%20einen%20Luftverbrauch,%2D200%20l%2Fmin%20auf.)</t>
  </si>
  <si>
    <t>Für beispielhafte Zusammensetzung siehe Lackierprozess Stoßfänger
Dichte : 1,028 g/ml (https://eshop.spieshecker.com/refinish/de_de/permahydr-base-coat-280-285-286-16184.html)</t>
  </si>
  <si>
    <t>Gleiche Menge wie bei Stoßfänger, da gleiche Menge Lack
Dichte: 0,982 g/ml (https://eshop.spieshecker.com/refinish/de_de/permasolidr-hs-clear-coat-8055-16967.html)</t>
  </si>
  <si>
    <t>Annahme: durchschnittlich 21 Arbeitstage pro Monat, 8 Polierarbeiten pro Tag, 1l Flasche hält 2 Monate:
Verbrauch: 1L/(8*21*2)
Annahme: Dichte = 1 g/ml</t>
  </si>
  <si>
    <t>Auto mit lackierter und polierter Tür</t>
  </si>
  <si>
    <t>evtl. mehr, wenn im ausgebauten Zustand lackiert wird
- Sondermüll
- Größe 0,265636 m2
- Dichte 80 g/m2 -&gt; 0,8 g/cm3</t>
  </si>
  <si>
    <t>Abfall Folie zum Abdecken mit Lackrückständen</t>
  </si>
  <si>
    <t>Infos zu VOC + Quellen in Register zu Stoßfänger</t>
  </si>
  <si>
    <t>5. Montage</t>
  </si>
  <si>
    <t>Hier findet kein Umbau der Anbauteile statt. Wurde im eingebauten Zustand lackiert, müssen nur Türgriff und Zierleiste und eventuell entfernte Teile der Innenverkleidung wieder montiert werden. Wurde im ausgebauten Zustand lackiert, muss die Tür selbst zusätzlich wieder eingesetzt werden (dies ist aber nicht aufwendig (2 Schrauben))</t>
  </si>
  <si>
    <t>1126,5 min (1141,5 min)</t>
  </si>
  <si>
    <t>ohne Fahrzeugannahme und ohne Probefahrt
davon Arbeitszeit: 286,5 min (301,5 min)
davon Wartezeit: 840 min</t>
  </si>
  <si>
    <t>nein</t>
  </si>
  <si>
    <t>Aktuell nicht berücksichtigt</t>
  </si>
  <si>
    <t>1. Demontage defekte Tür</t>
  </si>
  <si>
    <t>Die alte Tür wird ausgebaut und die neue Tür wird einmal eingebaut um zu sehen ob alles passt. Dann wird die neue Tür für die weiteren Bearbeitungschritte wieder ausgebaut. Umbau der Anbauteile berücksichtige ich im Schritt "Montage"</t>
  </si>
  <si>
    <t>Autotür Neuteil</t>
  </si>
  <si>
    <t>Alte defekte Tür</t>
  </si>
  <si>
    <t>Auto mit demontierter Tür</t>
  </si>
  <si>
    <t>2. Vorbereitung Neuteil</t>
  </si>
  <si>
    <t>Tür wird mit Hand angeschliffen (20 min), Grundiert (5 min), steht dann über Nacht, wird am nächsten Tag mit der Maschine angeschliffen (30 min), gereinigt und geht dann zum Lackieren. Falls von Werk aus kein Dichtband vorhanden ist, muss dieses nach dem Anschleifen mit der Hand zusätzlich aufgeklebt werden + im Anschluss auch nochmal angeschliffen (getröpft??) werden (insgesamt auch 15 min).</t>
  </si>
  <si>
    <t>55 (70) (Arbeitszeit) + 840 Wartezeit (14 h: Annahme Wartezeit von 17 Uhr bis 7 Uhr)</t>
  </si>
  <si>
    <t>Berechnung: (30*950+25*1,7)/(1000*60) bzw. (30*950+40*1,7)/(1000*60)</t>
  </si>
  <si>
    <t>Zeiten: (berechnet auf Basis von Dreisatz über Menge der Vorgrundierung im Vergleich zur Reparatur)
- Auftragen Vorgrundierung und Füller: (4/420)*630 = 6 min
- ca. 0,5 min Wegblasen Pulver
Druckluftwerte:
- exemplarischer Luftdurchsatz Lackierpistole: 2 bar, 300 l/min (https://www.kompressorcheck.de/lackierpistole/#:~:text=Normale%20Lackierpistolen%20weisen%20einen%20Luftverbrauch,%2D200%20l%2Fmin%20auf.)
- exemplarischer Luftdurchsatz Druckluftpistole: 6 bar, 20 m3/h -&gt; 333 l/min (https://www.prevost.de/prevos1-blaspistole-mit-metallduese-2976)</t>
  </si>
  <si>
    <t>Druchschnitt-Gewicht neu: 5,6 g
10 x 500, 1x 400</t>
  </si>
  <si>
    <r>
      <t xml:space="preserve">Wird Vorgrundierung evtl. weggelassen da von Werk aus vorgrundiert?
Berechnung Auf Basis von Stoßfänger: (145/300)*450
</t>
    </r>
    <r>
      <rPr>
        <b/>
        <sz val="10"/>
        <rFont val="Frutiger 45 Light"/>
        <family val="2"/>
      </rPr>
      <t>wurde hier vernachlässigt</t>
    </r>
    <r>
      <rPr>
        <sz val="10"/>
        <rFont val="Frutiger 45 Light"/>
        <family val="2"/>
      </rPr>
      <t>, wurde bei Neuteil berücksichtigt</t>
    </r>
  </si>
  <si>
    <t>Berechnung: (200/300)*450
Dichte Grundierung (berechnet nach technischen Datenblättern): 1,36 g/ml
(https://eshop.spieshecker.com/refinish/de_ch/permasolidr-hs-premium-surfacer-5310-32664.html; https://eshop.spieshecker.com/refinish/de_de/permasolidr-hs-hardener-3310-17043.html; https://eshop.spieshecker.com/refinish/de_de/permacronr-reducer-3380-17147.html)</t>
  </si>
  <si>
    <t>Berechnung: (50/300)*450</t>
  </si>
  <si>
    <t>Berechnung: (25/300)*450 bzw. 10 %</t>
  </si>
  <si>
    <t>(Dichtband + Kleber)</t>
  </si>
  <si>
    <t>falls nicht von Werk aus vorhanden, war bei Datenaufnahme vorhanden, wird hier vernachlässigt</t>
  </si>
  <si>
    <t>Autotür Neuteil (vorbereitet für Lackierung)</t>
  </si>
  <si>
    <t>Berechnung: (3,9/300)*450</t>
  </si>
  <si>
    <t>Durchschnitssgewicht benutzt: 6,55 g
10 x 500, 1x 400</t>
  </si>
  <si>
    <t>Gemessene Leistungsaufnahme 950 Watt, 1,7 W im Standby. Hier angenommen dass er die Maschine die geschätzten 30 min durchläuft</t>
  </si>
  <si>
    <t>Lack: 400 - 450 g, Polieren dauert ca. 20 min, Für Lackierung Tür immer ausgebaut, da Lackierung von beiden Seiten</t>
  </si>
  <si>
    <t>30 (Anmischen) + 10 (Musterblech) + ((10/300)*450 = 10,5) Lackieren + 15 ablüften + ((14/300)*450 = 21) Klarlack + 10 ablüften + 35 Trockenraum + 20 Polieren
Zeiten für Decklack und Klarlack berechnet über Dreisatz anhand von Lackmengen für Tür Reparatur und Tür Austausch</t>
  </si>
  <si>
    <t>für Lackierung vorbereitete Autotür</t>
  </si>
  <si>
    <r>
      <t>Top Down (links):</t>
    </r>
    <r>
      <rPr>
        <sz val="10"/>
        <rFont val="Frutiger 45 Light"/>
        <family val="2"/>
      </rPr>
      <t xml:space="preserve"> aktuell berechnt über Kostenkalkulationen und Bearbeitungszeit</t>
    </r>
  </si>
  <si>
    <t>Nutzungszeit (berechnet auf Basis von Stoßfänger):
- 10,5+21 = 31,5 min, Annahme: Lackierpistole läuft tatsächlich 80 % der Lackierzeit -&gt; 25,2 min
Druckluftwerte: 
- exemplarischer Luftdurchsatz Lackierpistole: 2 bar, 300 l/min (https://www.kompressorcheck.de/lackierpistole/#:~:text=Normale%20Lackierpistolen%20weisen%20einen%20Luftverbrauch,%2D200%20l%2Fmin%20auf.)</t>
  </si>
  <si>
    <t>Für beispielhafte Zusammensetzung siehe Lackierprozess Stoßfänger</t>
  </si>
  <si>
    <t>Berechnung: (250/300)*450</t>
  </si>
  <si>
    <t>Annahme: durchschnittlich 21 Arbeitstage pro Monat:
Verbrauch: 1L/(8*21*2)
Annahme: Dichte = 1 g/ml</t>
  </si>
  <si>
    <t>lackierte und polierte Tür</t>
  </si>
  <si>
    <t>Hier müssen zusätzlich zum reinen Einbau die Anbauteile der Tür (Innenverkleidung Scheibe etc.) von der alten Tür demontiert und an der neuen Tür angebracht werden.</t>
  </si>
  <si>
    <t>10 min reiner Einbau + 1 h Umbau der Anbauteile</t>
  </si>
  <si>
    <t>alte defekte Tür</t>
  </si>
  <si>
    <t>alte defekte Tür ohne Anbauteile</t>
  </si>
  <si>
    <t>Metallschrott (alte Tür)</t>
  </si>
  <si>
    <t>Annahme: 20 kg (hier nochmal genauer recherchieren)</t>
  </si>
  <si>
    <t>nicht erhoben (Keine Angabe, fehlend)</t>
  </si>
  <si>
    <t>Dropdown 3</t>
  </si>
  <si>
    <t>sehr gut (2018-2020)</t>
  </si>
  <si>
    <t>gut (2016-2018)</t>
  </si>
  <si>
    <t>befriedigend (2014-2016)</t>
  </si>
  <si>
    <t>schlecht (vor 2014)</t>
  </si>
  <si>
    <t>nicht erhoben</t>
  </si>
  <si>
    <t>Recherche</t>
  </si>
  <si>
    <t>Modellierung: Trennscheibe</t>
  </si>
  <si>
    <t>Modellierung: Karoserie-Sägeblatt</t>
  </si>
  <si>
    <t>Modellierung: Schweißpunktbohrer</t>
  </si>
  <si>
    <t>Modellierung 2K Kleber (Epoxy) - Karosseriekleber</t>
  </si>
  <si>
    <t>Modellierung: Rostschutz (2K Primer)</t>
  </si>
  <si>
    <t>Modellierung: Dichtmasse Sikaflex</t>
  </si>
  <si>
    <t>Modellierung: Paste zum Verschwemmen (Schwemmzinnersatz oder Spachtel)</t>
  </si>
  <si>
    <t>(Dreiecks-) Scheibe -&gt; Typisches Gewicht</t>
  </si>
  <si>
    <t>Modellierung: Scheibenkleber</t>
  </si>
  <si>
    <t xml:space="preserve">Neuteil Seitenteil: Gewicht + Material </t>
  </si>
  <si>
    <t>1. Demontage Anbauteile - Reparatur Seitenteil</t>
  </si>
  <si>
    <t>Ausbau von Rückleuchten, Stoßfänger, Tankdeckel. Beschädigung von Fenster wird nicht angenommen</t>
  </si>
  <si>
    <t>Auto mit defektem Seitenteil</t>
  </si>
  <si>
    <t xml:space="preserve">Stück </t>
  </si>
  <si>
    <t>market fo rbuilding hall, hall</t>
  </si>
  <si>
    <t>Auto mit demontierten Anbauteilen</t>
  </si>
  <si>
    <t xml:space="preserve">Abfall alte Halterungen </t>
  </si>
  <si>
    <t>market for waste polyethylene | waste polyethylene | Cutoff, S - DE</t>
  </si>
  <si>
    <t>Zusätzlich verwendete Maschinen</t>
  </si>
  <si>
    <t>2: Reparatur (Metallarbeiten): Ausbeulen - Reparatur Seitenteil</t>
  </si>
  <si>
    <t>Wie bei Tür. Rausziehen Mit Punktschweißen (verschiedene Aufsätze) etc. Stifte werden hier nicht aufgebracht. Zwischendurch immer wieder mit Handfeile schleifen.
Prozessdauer abhängig von Schaden: 60 min bis 240 min (Wir rechnen hier erstmal koservativ analog zur Tür-Reparatur)</t>
  </si>
  <si>
    <t>Wert Analog zu Reparatur Tür -&gt; Schaden ähnlich
Wie eine Art Metallbürste. Hält ca. 10 Anwendungen. Wenn jedoch ein ganzes Seitenteil gemacht wird, dann hält er nur für diese eine Anwendung</t>
  </si>
  <si>
    <t xml:space="preserve">Auto mit ausgebeulter Seitenwand </t>
  </si>
  <si>
    <t>3: Reparatur (Spachteln): Spachteln + Vorbereitung zur Lackierung - Reparatur Seitenteil</t>
  </si>
  <si>
    <t>Abkleben Reifen mit Papier, Tür Rahmen mit Kunststofffolie. Erst mit Excenter vorschleifen, dann spachteln (0,7*(133,7 g - 9,4 g (Pappe))siehe Bild, ohne Härter -&gt; 0,7 weil er diese Menge für Tür und Seitenteil genommen hat), dann wieder abschleifen, dann wieder Spachteln (0,5 * die vorherige Menge) -&gt; Abrieb auf Basis der Tür berechnen. 300 gramm füller + 4 zu eins härter. und am nächsten tag füller schliff. Insgesamt 10 Schleifscheiben (Excenter)
Vergleich zur Fläche der Tür (wird für verschiedene Abschätzungen benötigt): (https://www.angurten.de/is/abmessungen/174-Golf+VI/3.htm#abmessungsbilder)
Fläche Seitenteil ca.: (1/3*419,9)*92,7 =12974,91 cm2
Fläche Tür (siehe Registerblatt): (125,6*81,6)-(37,1*71,6)=7592,6 cm 2</t>
  </si>
  <si>
    <t>h</t>
  </si>
  <si>
    <t>5 (300 min) + 14 h (840 min) Wartezeit</t>
  </si>
  <si>
    <t>Auto mit ausgebeulter Seitenwand</t>
  </si>
  <si>
    <t>Berechnung durch Vergleich zur Fläche der Tür</t>
  </si>
  <si>
    <t>Zeiten: (Abgeschätzt auf Basis des Vergleichs der Flächen von Seitenteil und Tür und der dort benötigten Zeit (Reparatur) -&gt; (6/7592,6)*12974 = ca. 10; (0,5/7592,6)*12974 = ca. 1
- Auftragen Vorgrundierung und Füller: 10 min
- ca. 1 min Wegblasen Pulver
Druckluftwerte:
- exemplarischer Luftdurchsatz Lackierpistole: 2 bar, 300 l/min (https://www.kompressorcheck.de/lackierpistole/#:~:text=Normale%20Lackierpistolen%20weisen%20einen%20Luftverbrauch,%2D200%20l%2Fmin%20auf.)
- exemplarischer Luftdurchsatz Druckluftpistole: 6 bar, 20 m3/h -&gt; 333 l/min (https://www.prevost.de/prevos1-blaspistole-mit-metallduese-2976)</t>
  </si>
  <si>
    <t>Annahme: Gleiche Anzahl wie bei Reparatur Tür (da Schaden ähnlich)
5 Scheiben pro Instandsetzung Stoßfänger (Annahme: hier gleiche Anzahl), verschiedene Größen (180, 240, 320)
Gewicht 120 (neu): 5,5 g
Gewicht 180 (neu): 5,9 g
Gewicht 320 (neu): 5,5 g
Druchschnitt-Gewicht neu: 5,6 g</t>
  </si>
  <si>
    <t>Hier Abschätzen über Vergleich der Fläche zu Tür
-&gt; (11/7592,6 )*12974,91 = ca. 19</t>
  </si>
  <si>
    <t>Abschätzung der Menge auf Basis der Schleifscheibenmenge im Vergleich zur Bearbeitung der Tür (2/16)*27 = ca. 3
Für Stellen an die man mit  Maschine nicht kommt
Gewicht Schleifschwamm benutzt: 7,8 g</t>
  </si>
  <si>
    <t>Menge abgeschätzt über Vergleich der Flächen von Tür und Seitenteil
(9/7592,6)*12974,91 = ca. 15
Organic solvent als Silikonreiniger;
 1 Sprühstoß mit reinem Wasser entspricht 0,9 Gramm
Annahme: Dichte Silikonreiniger = Dichte Wasser.</t>
  </si>
  <si>
    <t>Gewogen: 
0,7*(133,7 g - 9,4 g ) siehe Bild, ohne Härter -&gt; 0,7 weil er diese Menge für Tür und Seitenteil genommen hat, 1,5 weil er im zweiten Schritt die Hälfte der ersten Menge nochmal genommen hat</t>
  </si>
  <si>
    <r>
      <t xml:space="preserve">Seitenteil wird im eingebauten Zustand lackiert, um Seitenteil, um Fenster (falls vorhanden) und um Radhaus wird mit Klebeband abgeklebt. Fenster und Radhaus werden mit Papier abgeklebt. Der Rest des Autos wird mit Folie abgedeckt.
Annahme Seitenteil und Fenster entsprechen Rechteck, Radhaus entspricht Kreis: Abmessungen übernommen von VW Golf (https://www.angurten.de/is/abmessungen/174-Golf+VI/3.htm#abmessungsbilder)
</t>
    </r>
    <r>
      <rPr>
        <b/>
        <sz val="10"/>
        <rFont val="Frutiger 45 Light"/>
        <family val="2"/>
      </rPr>
      <t xml:space="preserve">Abmessungen: </t>
    </r>
    <r>
      <rPr>
        <sz val="10"/>
        <rFont val="Frutiger 45 Light"/>
        <family val="2"/>
      </rPr>
      <t xml:space="preserve">
Radhaus: Fläche ca.: pi* ((131,6-92,7)/2)</t>
    </r>
    <r>
      <rPr>
        <vertAlign val="superscript"/>
        <sz val="10"/>
        <rFont val="Frutiger 45 Light"/>
        <family val="2"/>
      </rPr>
      <t>2</t>
    </r>
    <r>
      <rPr>
        <sz val="10"/>
        <rFont val="Frutiger 45 Light"/>
        <family val="2"/>
      </rPr>
      <t>=1188,47 cm2</t>
    </r>
    <r>
      <rPr>
        <vertAlign val="superscript"/>
        <sz val="10"/>
        <rFont val="Frutiger 45 Light"/>
        <family val="2"/>
      </rPr>
      <t xml:space="preserve"> </t>
    </r>
    <r>
      <rPr>
        <sz val="10"/>
        <rFont val="Frutiger 45 Light"/>
        <family val="2"/>
      </rPr>
      <t xml:space="preserve">, Umfang ca.: 2*pi*(1316-927)= 122,21 cm
Fenster (falls vorhanden) analog zu Tür: Flache ca.: 37,1* 71,6=2656,36 cm2, Umfang ca.: 2*37,1+2*71,6=217,3 cm
Seitenteil: Fläche ca.:  12974,91 cm2, Umfang ca.: 2/3*419,9+2*92,7=465,3
</t>
    </r>
    <r>
      <rPr>
        <b/>
        <sz val="10"/>
        <rFont val="Frutiger 45 Light"/>
        <family val="2"/>
      </rPr>
      <t xml:space="preserve">Klebeband: </t>
    </r>
    <r>
      <rPr>
        <sz val="10"/>
        <rFont val="Frutiger 45 Light"/>
        <family val="2"/>
      </rPr>
      <t xml:space="preserve">
- Breite: 3,8 cm 
- Gewicht (gemessen): 0,4 g (L x B: 11,88 cm x 3,8 cm = 45,144 cm</t>
    </r>
    <r>
      <rPr>
        <vertAlign val="superscript"/>
        <sz val="10"/>
        <rFont val="Frutiger 45 Light"/>
        <family val="2"/>
      </rPr>
      <t xml:space="preserve">2 </t>
    </r>
    <r>
      <rPr>
        <sz val="10"/>
        <rFont val="Frutiger 45 Light"/>
        <family val="2"/>
      </rPr>
      <t>-&gt; 0,00886 g/cm</t>
    </r>
    <r>
      <rPr>
        <vertAlign val="superscript"/>
        <sz val="10"/>
        <rFont val="Frutiger 45 Light"/>
        <family val="2"/>
      </rPr>
      <t>2</t>
    </r>
    <r>
      <rPr>
        <sz val="10"/>
        <rFont val="Frutiger 45 Light"/>
        <family val="2"/>
      </rPr>
      <t xml:space="preserve">
- Volumen: (Dicke (Literatur) 110 um -&gt; 0,011 cm) 0,496584 cm3 -&gt; 0,81 g/cm3 (In Literatur: 0,64 g/cm3)</t>
    </r>
  </si>
  <si>
    <r>
      <t xml:space="preserve">Seitenteil wird im eingebauten Zustand lackiert, um Seitenteil, um Fenster (falls vorhanden) und um Radhaus wird mit Klebeband abgeklebt. Fenster und Radhaus werden mit Papier abgeklebt. Der Rest des Autos wird mit Folie abgedeckt.
Annahme Seitenteil und Fenster entsprechen Rechteck, Radhaus entspricht Kreis: Abmessungen übernommen von VW Golf (https://www.angurten.de/is/abmessungen/174-Golf+VI/3.htm#abmessungsbilder)
</t>
    </r>
    <r>
      <rPr>
        <b/>
        <sz val="10"/>
        <rFont val="Frutiger 45 Light"/>
        <family val="2"/>
      </rPr>
      <t xml:space="preserve">Abmessungen: 
</t>
    </r>
    <r>
      <rPr>
        <sz val="10"/>
        <rFont val="Frutiger 45 Light"/>
        <family val="2"/>
      </rPr>
      <t xml:space="preserve">Radhaus: Fläche ca.: pi* ((131,6-92,7)/2)2=1188,47 cm2 , Umfang ca.: 2*pi*(1316-927)= 122,21 cm
Fenster (falls vorhanden) analog zu Tür: Flache ca.: 37,1* 71,6=2656,36 cm2, Umfang ca.: 2*37,1+2*71,6=217,3 cm
Seitenteil: Fläche ca.:  12974,91 cm2, Umfang ca.: 2/3*419,9+2*92,7=465,3
Dichte 80 g/m2 -&gt; 0,8 g/cm3
</t>
    </r>
    <r>
      <rPr>
        <b/>
        <sz val="10"/>
        <rFont val="Frutiger 45 Light"/>
        <family val="2"/>
      </rPr>
      <t xml:space="preserve">Papier:
</t>
    </r>
    <r>
      <rPr>
        <sz val="10"/>
        <rFont val="Frutiger 45 Light"/>
        <family val="2"/>
      </rPr>
      <t xml:space="preserve">-Dichte 80 g/m2 -&gt; 0,8 g/cm3
</t>
    </r>
  </si>
  <si>
    <r>
      <t xml:space="preserve">Seitenteil wird im eingebauten Zustand lackiert, um Seitenteil, um Fenster (falls vorhanden) und um Radhaus wird mit Klebeband abgeklebt. Fenster und Radhaus werden mit Papier abgeklebt. Der Rest des Autos wird mit Folie abgedeckt.
Annahme Seitenteil und Fenster entsprechen Rechteck, Radhaus entspricht Kreis, Auto sei ein Quader:: Abmessungen übernommen von VW Golf (https://www.angurten.de/is/abmessungen/174-Golf+VI/3.htm#abmessungsbilder)
</t>
    </r>
    <r>
      <rPr>
        <b/>
        <sz val="10"/>
        <rFont val="Frutiger 45 Light"/>
        <family val="2"/>
      </rPr>
      <t>Abmessungen</t>
    </r>
    <r>
      <rPr>
        <sz val="10"/>
        <rFont val="Frutiger 45 Light"/>
        <family val="2"/>
      </rPr>
      <t xml:space="preserve">: 
- Auto: Maße Golf 7: 
L: 4199 mm -&gt; 419,9 cm
B: 1786 mm -&gt; 178,6 cm (ohne Spiegel)
H: 1512 mm -&gt; 151,2 cm
-&gt; 2*(178,6*151,2)+2*(419,9*151,2)+(419,9*178,6) = 255980,54 cm2 -&gt; 25,6 m2
-&gt; 255,98 cm3
</t>
    </r>
    <r>
      <rPr>
        <b/>
        <sz val="10"/>
        <rFont val="Frutiger 45 Light"/>
        <family val="2"/>
      </rPr>
      <t>Folie:</t>
    </r>
    <r>
      <rPr>
        <sz val="10"/>
        <rFont val="Frutiger 45 Light"/>
        <family val="2"/>
      </rPr>
      <t xml:space="preserve">
- Anahme Dicke: 10 um (0,001 cm)
- Material LDPE (0,915 g/cm3)</t>
    </r>
  </si>
  <si>
    <t xml:space="preserve">
market for packaging film, low density polyethylene | packaging film, low density polyethylene | Cutoff, U - GLO</t>
  </si>
  <si>
    <t>Berechung über Vergleich der Flächen von Tür (Reparatur, da hier Tür nur außen gefüllert wird) und Seitenteil
-&gt; (145/7592,6)*12974,91 = 247,79</t>
  </si>
  <si>
    <t>Berechung über Vergleich der Flächen von Tür (Reparatur, da hier Tür nur außen gefüllert wird) und Seitenteil
-&gt; (200/7592,6)*12974,91 = 341,78
Dichte Grundierung (berechnet nach technischen Datenblättern): 1,36 g/ml
(https://eshop.spieshecker.com/refinish/de_ch/permasolidr-hs-premium-surfacer-5310-32664.html; https://eshop.spieshecker.com/refinish/de_de/permasolidr-hs-hardener-3310-17043.html; https://eshop.spieshecker.com/refinish/de_de/permacronr-reducer-3380-17147.html)</t>
  </si>
  <si>
    <t xml:space="preserve">Berechung über Vergleich der Flächen von Tür (Reparatur, da hier Tür nur außen gefüllert wird) und Seitenteil
-&gt; (50/7592,6)*12974,91 = 341,78
</t>
  </si>
  <si>
    <t>Berechung über Vergleich der Flächen von Tür (Reparatur, da hier Tür nur außen gefüllert wird) und Seitenteil
-&gt; (25/7592,6)*12974,91 = 341,78</t>
  </si>
  <si>
    <t>Auto mit vorbereitetem Seitenteil</t>
  </si>
  <si>
    <t>Mittels Dreisatz über die eingesetzte Spachtelmenge Im Vergleich zur Tür bestimmt: 
(114/800)*(130,515) = 18,59 g</t>
  </si>
  <si>
    <t>Abschätzung Vergleich der Fläche zu Tür
-&gt;  (3,9/7592,6)*12974,91 = 6,66</t>
  </si>
  <si>
    <t>Abfalll Schleifscheiben</t>
  </si>
  <si>
    <t>Abmessungen Seitenteil (siehe oben): 12974,91 cm2 -&gt; 12,9749 cm3 (Dicke: 10 um); Dichte: 0,915 g/cm3
Dieser Teil der Folie muss nicht über Sondermüll entsorgt werden</t>
  </si>
  <si>
    <t>4: Lackieren + Nachbearbeitung (Polieren) - Reparatur Seitenteil</t>
  </si>
  <si>
    <t>30 min Anmischen, 10 min Musterblech, Lack 359 g, 300 g Klarlack + 150 Härter + 10 % Additiv (ca. 500g insgesamt). 15 min Decklack, 15 min ablüften, 10 min klarlack, 10 min ablüften , 10 min Klarlack, dann 35 min Trocknen. 20 min Polieren</t>
  </si>
  <si>
    <t>30+10+15+15+10+5+10+35+20</t>
  </si>
  <si>
    <t>Elektrizität (Licht etc.)</t>
  </si>
  <si>
    <t>Nutzungszeit (mehr als bei Stoßfänger und Tür (Reparatur, da größere Fläche:
- 15+20 = 35 min, Annahme: Lackierpistole läuft tatsächlich 80 % der Lackierzeit -&gt; 28 min
Druckluftwerte: 
- exemplarischer Luftdurchsatz Lackierpistole: 2 bar, 300 l/min (https://www.kompressorcheck.de/lackierpistole/#:~:text=Normale%20Lackierpistolen%20weisen%20einen%20Luftverbrauch,%2D200%20l%2Fmin%20auf.)</t>
  </si>
  <si>
    <t>Abgefragt in Werkstatt</t>
  </si>
  <si>
    <t>Auto mit lackiertem und polierten Seitenteil</t>
  </si>
  <si>
    <t>5: Montage - Reparatur Seitenteil</t>
  </si>
  <si>
    <t>Diverse Halterungen müssen wieder neu (bei 50 % der Fälle) Es sollten aber weniger modelliert werden als bei Austausch (50 % der Masse bei Austausch)</t>
  </si>
  <si>
    <t>Stoßfänger Halter + Tankdeckelhalter (PP Gewicht siehe Videos)</t>
  </si>
  <si>
    <t>Tankdeckelhalterung: (wenn entsprechende Seite betroffen): 464,2 g
Stoßfängerhalter (1. Teil): 580 g
Stoßfängerhalter (2. Teil): 131,2 g
Material: PP</t>
  </si>
  <si>
    <t>Auto Instandgesetzt</t>
  </si>
  <si>
    <t>Hr. Bultink gab eine Instandsetzungszeit von ca. einer Woche an.</t>
  </si>
  <si>
    <t>Gesamtprozess dauert anscheinend 1 Woche</t>
  </si>
  <si>
    <t>1: Demontage Anbauteile - Austausch Seitenteil</t>
  </si>
  <si>
    <t>anbauteile werden demontiert, Fenster muss auch herausgenommen werden. Fenster muss neu weil kann nicht heile rausgenommen werden. (in 60 bis 70 prozent, wird in Prozess "Montage" berücksichtigt). Stoßfängerhalterung + Tankedeckelhalterung muss neu, da diese bei Ausbau beschädigt werden. (wird auch bei "Montage" berücksichtigt)</t>
  </si>
  <si>
    <t>Abfall altes Fenster</t>
  </si>
  <si>
    <t>Annahme: Wird recycelt (als Produkt im Cut-off Ansatz modelliert = 0 Umweltwirkung)</t>
  </si>
  <si>
    <t>2: Altes Seitenteil heraustrennen - Austausch Seitenteil</t>
  </si>
  <si>
    <t>Schweißpunkte aufbohren mit Spezialbohrer (Verwendung eines Bohraufsatzes für : 2-7 Seitenteile (letzterer sehr teuer, Mittelwert: 4 Anwendungen). Heraustrennen mit Winkelschleifer (1 Trennscheibe 5 Seitenwände) oder/und mit Luftsäge (2-3 Seitenteile pro Sägeblatt)</t>
  </si>
  <si>
    <r>
      <rPr>
        <b/>
        <sz val="10"/>
        <rFont val="Frutiger 45 Light"/>
        <family val="2"/>
      </rPr>
      <t>Bohren:
-</t>
    </r>
    <r>
      <rPr>
        <sz val="10"/>
        <rFont val="Frutiger 45 Light"/>
        <family val="2"/>
      </rPr>
      <t xml:space="preserve">Zeit: ca. 20 min
-Infos von: https://www.druckluft-fachhandel.de/schneider-bohrmaschine-bm-800-13mm-dgkd322691?c=382
-&gt; 6,3 bar Betriebsdruck 
-&gt; Luftverbrauch: 8 l/s -&gt; 480 l/min
</t>
    </r>
    <r>
      <rPr>
        <b/>
        <sz val="10"/>
        <rFont val="Frutiger 45 Light"/>
        <family val="2"/>
      </rPr>
      <t xml:space="preserve">Axialschleifmaschine/Winkelschneider:
</t>
    </r>
    <r>
      <rPr>
        <sz val="10"/>
        <rFont val="Frutiger 45 Light"/>
        <family val="2"/>
      </rPr>
      <t>- Zeit ca. 10 min</t>
    </r>
    <r>
      <rPr>
        <b/>
        <sz val="10"/>
        <rFont val="Frutiger 45 Light"/>
        <family val="2"/>
      </rPr>
      <t xml:space="preserve">
</t>
    </r>
    <r>
      <rPr>
        <sz val="10"/>
        <rFont val="Frutiger 45 Light"/>
        <family val="2"/>
      </rPr>
      <t xml:space="preserve">- Infos von: (https://www.spitznas.de/werkzeuge/schleifmaschinen/schleifmaschinen-druckluft/axial-kleinschleifmaschinen/150600010/)
-&gt; 0,85 m3/min -&gt; 850 l/min
-&gt; Betriebsdruck: 6 bar (600 kPa)
-&gt; 20.000 RPM
</t>
    </r>
    <r>
      <rPr>
        <b/>
        <sz val="10"/>
        <rFont val="Frutiger 45 Light"/>
        <family val="2"/>
      </rPr>
      <t xml:space="preserve">Druckluftsäge: </t>
    </r>
    <r>
      <rPr>
        <sz val="10"/>
        <rFont val="Frutiger 45 Light"/>
        <family val="2"/>
      </rPr>
      <t xml:space="preserve">
- Zeit ca. 10 min
- Infos von: https://www.druckluft-fachhandel.de/schneider-karosseriesaege-ks-10-dgkd322322?c=930
-&gt; Betriebsdruck: 6,3 bar
-&gt; Luftverbrauch: 4 l/s -&gt; 240 l/min</t>
    </r>
  </si>
  <si>
    <t>(Schweißpunkt-)Bohrer (HSS-E)</t>
  </si>
  <si>
    <t>1 Aufsatz wird für 4 Seitenwände benutzt -&gt; 1/4 Bohrer pro Seitenwand
Infos von: https://www.kstools.com/produkte/kfz-spezialwerkzeuge/karosserie-und-innenausstattung/schweisspunkt-bohrer/hsse-tin-schweisspunkt-bohrer
Gewicht: 10 - 40 g -&gt; 25 Gramm
Material: siehe Reiter "Verbrauchsmaterialien"</t>
  </si>
  <si>
    <t>Trennscheibe</t>
  </si>
  <si>
    <t>1 Trennscheibe wird für 5 Seitenwände benutzt -&gt; 1/5 Trennscheibe pro Seitenwand (wird auch beim nächsten Prozessschritt benötigt
Masse Trennscheibe: 22,7 g (https://www.amazon.de/PROXXON-28812-Trennscheiben-Korund-St%C3%BCck/dp/B0019F35PC)
Menge wird halbiert, da die Scheibe auch in Schritt 3 eingesetzt wird</t>
  </si>
  <si>
    <t>Sägeblatt (HSS)</t>
  </si>
  <si>
    <t>1 Sägeblatt wird für 2 Seitenwände bearbeitet -&gt; (1/2 Sägeblätter pro Seitenwand)
Modellierung: siehe Reiter "Verbrauchsmaterialien"
Masse: 70 g (https://www.fluidonline.de/rodcraftwerkzeuge/rodcraft-blechbearbeitung/zubehoer-zur-blechbearbeitung/saegeblatt-fuer-karosseriesaege-laenge-93mm-feinverzahnt-8951011514_2893_3488)</t>
  </si>
  <si>
    <t>Auto mit herausgetrenntem Seitenteil</t>
  </si>
  <si>
    <t>Abfall Schweißpunktbohrer anteilig</t>
  </si>
  <si>
    <t xml:space="preserve">Abfall Trennscheibe anteilig </t>
  </si>
  <si>
    <t>Abfall Sägeblatt anteilig</t>
  </si>
  <si>
    <t>Abfall Arbeitshandschuhe anteilig</t>
  </si>
  <si>
    <t>Abfall Papiertücher anteilig</t>
  </si>
  <si>
    <t>3:  Einbau Neuteil: Vorbereitung neues Seitenteil und Einbau: Einschweißen/anbringen + Nachbearbeitung (Spachteln, Verschwemmen) - Austausch Seitenteil</t>
  </si>
  <si>
    <t xml:space="preserve">Alle Schritte zur Vorbereitung und zum Einbau zusammengefasst
- Anschneiden des Neuteils (dünnste Stelle). Spaltmaß Tür Kofferraum anpassen (Mit Feststellzangen) Anreißen wo Überlappungen.
- Dann Kleben und Schweißen . (1 Kartusche  Kleber (siehe Bild 2K Epoxy)  pro Seitenwand) (Je nach Hersteller Löten oder Metallaktivgasschweißen). An gewünschten Schweißstellen anschleifen (blankes Blech) mit Metallschwammaufsatz (Polyamidbasis) (vor dem Schweißen). Dann Schweißen, danach Schweißnäte glattschleifen.
- Im Anschuss verschwemmen (Oberfläche glätten) (Schwemmzinnersatz oder Spachtel). Verschwemmen der Schweißstellen (1/3 der Kartusche, siehe Bild) oder Spachteln (Menge sehr unterschiedlich). Schleifen der Stellen. (wieder kleine Schleifscheiben (2 Stück) für feine Sachen, Flex für grobe sachen)
- Radhaus muss neu abgedichtet werden (Rostschutz (2K Primer, 250 ml für 10 Seitenwände), Dann Dichtmasse (Sikaflex, halbe Kartusche (290 ml pro Kartusche)siehe Bilder)) </t>
  </si>
  <si>
    <t>420+840 min Wartezeit (Annahme Wartezeit von 17 Uhr bis 7 Uhr)</t>
  </si>
  <si>
    <t>7 h + 14 h</t>
  </si>
  <si>
    <r>
      <rPr>
        <b/>
        <sz val="10"/>
        <rFont val="Frutiger 45 Light"/>
        <family val="2"/>
      </rPr>
      <t>Leistungsaufnahme Schweißgerät</t>
    </r>
    <r>
      <rPr>
        <sz val="10"/>
        <rFont val="Frutiger 45 Light"/>
        <family val="2"/>
      </rPr>
      <t xml:space="preserve"> ca. 3,5 KW (220 V * 16 A) (Quelle: https://carbon.ag/wp-content/uploads/storage/pdfs/produktinfo/carbon_produktinfo_2022_de_122_web.pdf, S.21)
</t>
    </r>
    <r>
      <rPr>
        <b/>
        <sz val="10"/>
        <rFont val="Frutiger 45 Light"/>
        <family val="2"/>
      </rPr>
      <t>Nutzung Schweißgerät</t>
    </r>
    <r>
      <rPr>
        <sz val="10"/>
        <rFont val="Frutiger 45 Light"/>
        <family val="2"/>
      </rPr>
      <t xml:space="preserve"> ca. 2 h, davon 1,5 Punktschweißen und 0,5 Linienschweißen -&gt; 1,5*0,5+0,5=1,25h</t>
    </r>
  </si>
  <si>
    <r>
      <rPr>
        <b/>
        <sz val="10"/>
        <rFont val="Frutiger 45 Light"/>
        <family val="2"/>
      </rPr>
      <t xml:space="preserve">Anschleifen/Anschneiden: Laufzeit Maschine ca. 30 min
Axialschleifmaschine/Winkelschneider:
</t>
    </r>
    <r>
      <rPr>
        <sz val="10"/>
        <rFont val="Frutiger 45 Light"/>
        <family val="2"/>
      </rPr>
      <t>- Zeit ca. 10 min</t>
    </r>
    <r>
      <rPr>
        <b/>
        <sz val="10"/>
        <rFont val="Frutiger 45 Light"/>
        <family val="2"/>
      </rPr>
      <t xml:space="preserve">
</t>
    </r>
    <r>
      <rPr>
        <sz val="10"/>
        <rFont val="Frutiger 45 Light"/>
        <family val="2"/>
      </rPr>
      <t>- Infos von: (https://www.spitznas.de/werkzeuge/schleifmaschinen/schleifmaschinen-druckluft/axial-kleinschleifmaschinen/150600010/)
-&gt; 0,85 m3/min -&gt; 850 l/min
-&gt; Betriebsdruck: 6 bar (600 kPa)
-&gt; 20.000 RPM</t>
    </r>
  </si>
  <si>
    <t>Seitenteil Neuteil</t>
  </si>
  <si>
    <t>Erste grobe Annahme (berechnet aus Allianzstudie) --&gt; ggf. nochmal erfragen</t>
  </si>
  <si>
    <t>Karosseriekleber (2K Epoxy)</t>
  </si>
  <si>
    <t>1 Kartusche pro Seitenwand</t>
  </si>
  <si>
    <t>market for adhesive, for metal | adhesive, for metal | Cutoff, S</t>
  </si>
  <si>
    <t>Schwemmzinnersatz</t>
  </si>
  <si>
    <t>Kartusche -&gt; 265 ml
Dichte: 1,55 g/ml (https://www.diamant-polymer.de/wp-content/uploads/product-pdfs/2396/diamant-2109-diamant-2022-02-24_14-48-58_de.pdf)
1/3 Kartusche pro Seitenwand
Epoxidharzbasis -&gt; siehe technisches Datenblatt Laufwerk</t>
  </si>
  <si>
    <t>market for epoxy resin, liquid | epoxy resin, liquid | Cutoff, S</t>
  </si>
  <si>
    <t>Ein Aufsatz hält für ein Seitenteil (Polyamidbasis)</t>
  </si>
  <si>
    <t>2 Scheiben
Gewicht neu Scheibe 3,5 g
Gewicht abgenutzte Scheibe 3,4 g</t>
  </si>
  <si>
    <t>Rostschutz 2K Primer</t>
  </si>
  <si>
    <t>250 ml für 10 Seitenwände
Dichte: 	0,945 g/ml (https://eshop.spieshecker.com/refinish/de_de/permasolidr-ep-primer-surfacer-4017-32676.html)</t>
  </si>
  <si>
    <t>Dichtmasse Sikaflex</t>
  </si>
  <si>
    <t xml:space="preserve">Halbe Kartusche -&gt; 1 Kartusche = 290 ml
Dichte: 1,3 kg/l (https://deu.sika.com/content/dam/dms/deaddconst01/2/sikaflex-529-at.pdf)
Hauptbestandteil Polyurethan: https://deu.sika.com/de/construction/produkte-a-z/sikaflex/kleben-und-dichteninderindustriellenfertigung/sikaflex-221.html </t>
  </si>
  <si>
    <t>market for polyurethane adhesive | polyurethane adhesive | Cutoff, S</t>
  </si>
  <si>
    <t>Auto mit eingbautem neuen Seitenteil</t>
  </si>
  <si>
    <t>Abfall Trennscheibe anteilig</t>
  </si>
  <si>
    <t>Abfall Aufsatz Winkelschleifer anteilig</t>
  </si>
  <si>
    <t>treatment of scrap steel, municipal incineration | scrap steel | Cutoff, S - Europe without Switzerland</t>
  </si>
  <si>
    <t>Abfall Schleifscheiben für Winkelschleifer</t>
  </si>
  <si>
    <t>Abfall Verschnitt Seitenteil</t>
  </si>
  <si>
    <t>Annahme: 10 % des Neuteils</t>
  </si>
  <si>
    <t>4: Einbau Neuteil: Vorbereitung zur Lackierung - Austausch Seitenteil</t>
  </si>
  <si>
    <t>Alles mit Excenter anschleifen, dann Abkleben und dann Füllern. Eine Nacht stehen lassen, dann nochmal schleifen von grob zu fein. Teilweise nachfüllern.
Für Berechnung der Menge Klebeband und Papier zum Abkleben, wurde angenommen, dass es sich immer um ein Modell mit Fensterscheibe handelt.
Vergleich zur Fläche der Tür (wird für verschiedene Abschätzungen benötigt): (https://www.angurten.de/is/abmessungen/174-Golf+VI/3.htm#abmessungsbilder)
Fläche Seitenteil ca.: (1/3*419,9)*92,7 =12974,91 cm2
Fläche Tür (siehe Registerblatt): (125,6*81,6)-(37,1*71,6)=7592,6 cm 2</t>
  </si>
  <si>
    <t>180 + 840 min Wartezeit (Annahme Wartezeit von 17 Uhr bis 7 Uhr)</t>
  </si>
  <si>
    <t>Berechnet durch Vergleich mit der Fläche der Tür (Reparatur) und 30 % Abzug, da hier kein Schleifen der Spachtelmasse</t>
  </si>
  <si>
    <t>Schleifscheibe (180, 240, 320,400,500)</t>
  </si>
  <si>
    <t>Abschätzung der Verbrauchten Menge durch Vergleich der zu bearbeitenden Fläche mit der der Autotür (Achtung, ohne die Scheiben für Schleifen)
-&gt; (11/7592,6)*12974,91 = ca. 19
19 Scheiben pro Instandsetzung Seitenwand, verschiedene Größen (180, 240, 320, 400, 500)
Gewicht 120 (neu): 5,5 g
Gewicht 180 (neu): 5,9 g
Gewicht 320 (neu): 5,5 g
Druchschnitt-Gewicht neu: 5,6 g</t>
  </si>
  <si>
    <r>
      <rPr>
        <b/>
        <sz val="10"/>
        <rFont val="Frutiger 45 Light"/>
        <family val="2"/>
      </rPr>
      <t>Wurde hier vernachlässigt und nur bei der Neuteilproduktion berücksichtigt</t>
    </r>
    <r>
      <rPr>
        <sz val="10"/>
        <rFont val="Frutiger 45 Light"/>
        <family val="2"/>
      </rPr>
      <t xml:space="preserve">
Berechung über Vergleich der Flächen von Tür (Reparatur, da hier Tür nur außen gefüllert wird) und Seitenteil
-&gt; (145/7592,6)*12974,91 = 247,79</t>
    </r>
  </si>
  <si>
    <t>Abfall Schleifscheiben</t>
  </si>
  <si>
    <t>Abfall Stofflappen anteilig</t>
  </si>
  <si>
    <t>5. Lackieren + Nachbearbeitung (Polieren) - Austausch Seitenteil</t>
  </si>
  <si>
    <t>Bis jetzt sind ca. 1,5 Tage vergangen
Lackierprozess gleich wie bei Reparatur
30 min Anmischen, 10 min Musterblech, Lack 475 g, 300 g Klarlack + Härter + Additiv (ca. 400g insgesamt). 15 min Decklack, 15 min ablüften, 10 min klarlack, 10 min warten , 10 min Klarlack, dann 35 min Trocknen. 20 min Polieren</t>
  </si>
  <si>
    <t>6: Montage - Austausch Seitenteil</t>
  </si>
  <si>
    <t xml:space="preserve"> Fenster muss neu weil kann nicht heile rausgenommen werden. (in 60 bis 70 prozent der Fälle). Neues Fenster wird eingebaut (1/2 Kartusche Scheibenkleber, 1 Kartusche 734 Gramm, Wird mit Akkubetriebenem Gerät aufgebracht-&gt; Wie viele Autos haben hinten ein Fenster?)</t>
  </si>
  <si>
    <t>neues Fenster</t>
  </si>
  <si>
    <t xml:space="preserve">Achtung mit 70% rechnen. 
https://www.zentrale-autoglas.de/liteglas.html -&gt; 2kg
https://www.amazon.com/NAGD-Passenger-Compatible-Hatchback-2019-2020/dp/B08BJC4VZ1 -&gt; 1,81kg
https://www.amazon.com/2011-2015-Passenger-Right-Window-Glass/dp/B074H6M95S -&gt; 1,36kg
https://www.amazon.com/dp/B07GDY22RZ?psc=1&amp;pd_rd_w=MVvz1&amp;content-id=amzn1.sym.c9b3a448-7c3c-4399-ac60-2bdc98844f72&amp;pf_rd_p=c9b3a448-7c3c-4399-ac60-2bdc98844f72&amp;pf_rd_r=RF1SKQ4ZCTJMP2N930KZ&amp;pd_rd_wg=paal9&amp;pd_rd_r=a63417d1-a91d-4ef1-984c-e4abceb0a8b3&amp;ref_=sspa_dk_rhf_detail_pt_sub_5&amp;spLa=ZW5jcnlwdGVkUXVhbGlmaWVyPUExM05IQkQ5VEVJMVk0JmVuY3J5cHRlZElkPUEwNjAxNjg5Q0FFMFJINzVWSlQ3JmVuY3J5cHRlZEFkSWQ9QTA4MDM3MzBCTE83TkdPNFlHMTkmd2lkZ2V0TmFtZT1zcF9yaGZfZGV0YWlsJmFjdGlvbj1jbGlja1JlZGlyZWN0JmRvTm90TG9nQ2xpY2s9dHJ1ZQ==   -&gt; 2,27kg
https://www.amazon.com/dp/B087SDZW6T?psc=1&amp;pd_rd_w=XFkAw&amp;content-id=amzn1.sym.c9b3a448-7c3c-4399-ac60-2bdc98844f72&amp;pf_rd_p=c9b3a448-7c3c-4399-ac60-2bdc98844f72&amp;pf_rd_r=0G61V8D3WBVHCRCKQGC2&amp;pd_rd_wg=XhYV9&amp;pd_rd_r=9a77147c-51c1-431f-82aa-e17aa399e8f8&amp;ref_=sspa_dk_rhf_detail_pt_sub_2&amp;spLa=ZW5jcnlwdGVkUXVhbGlmaWVyPUExM1lMSUwxVE1NUTVQJmVuY3J5cHRlZElkPUEwMzg5NTU0M0hKUFFMMktaOEdJUCZlbmNyeXB0ZWRBZElkPUEwMDI4MjE3TDhLRVpNQTIzVktMJndpZGdldE5hbWU9c3BfcmhmX2RldGFpbCZhY3Rpb249Y2xpY2tSZWRpcmVjdCZkb05vdExvZ0NsaWNrPXRydWU=
-&gt; 1,36 kg </t>
  </si>
  <si>
    <t>market for flat glass, coated | flat glass, coated | Cutoff, S - RER</t>
  </si>
  <si>
    <t>Fensterklebstoff</t>
  </si>
  <si>
    <t>1/2 Kartusche für ein Fenster, 1 Kartusche = 734 Gramm</t>
  </si>
  <si>
    <t>market for adhesive, for metal</t>
  </si>
  <si>
    <t>Austausch Stoßfänger</t>
  </si>
  <si>
    <t>Austausch Tür</t>
  </si>
  <si>
    <t>Reparatur Stoßfänger</t>
  </si>
  <si>
    <t>Reparatur Tür</t>
  </si>
  <si>
    <t>Austausch Seitenteil</t>
  </si>
  <si>
    <t>Reparatur Seitenteil</t>
  </si>
  <si>
    <t>Austausch</t>
  </si>
  <si>
    <t xml:space="preserve">pro Stoßfänger (alles außer Lackierung) </t>
  </si>
  <si>
    <t>pro Stoßfänger (nur Lackierung)</t>
  </si>
  <si>
    <t xml:space="preserve">pro Autotür (alles außer Lackierung) </t>
  </si>
  <si>
    <t>pro Autotür (nur Lackierung)</t>
  </si>
  <si>
    <t>Gesamt</t>
  </si>
  <si>
    <t>Stromverbrauch [kWh]</t>
  </si>
  <si>
    <t>Wärmeverbrauch [kWh]</t>
  </si>
  <si>
    <t>Stahl</t>
  </si>
  <si>
    <t>Reparatur</t>
  </si>
  <si>
    <t>Stoßfänger - Austausch</t>
  </si>
  <si>
    <t>Verteilt auf die Prozesse</t>
  </si>
  <si>
    <t>Dauer [min]</t>
  </si>
  <si>
    <t>Anteil [min/min]</t>
  </si>
  <si>
    <t>Anteil  (alles ohne Lackierung) [min/min]</t>
  </si>
  <si>
    <t>Wärme [kWh]</t>
  </si>
  <si>
    <t>1. Demontage</t>
  </si>
  <si>
    <t>3. Lackierung</t>
  </si>
  <si>
    <t>Gesamt - alles ohne Lackierung</t>
  </si>
  <si>
    <t>Autotür - Austausch</t>
  </si>
  <si>
    <t>Stoßfänger - Reparatur</t>
  </si>
  <si>
    <t>2. Reparatur + Vorbereitung Lackieren</t>
  </si>
  <si>
    <t>Autotür - Reparatur</t>
  </si>
  <si>
    <t>2. Reparatur - Metallarbeiten</t>
  </si>
  <si>
    <t>Seitenteil - Austausch</t>
  </si>
  <si>
    <t>2. Seitenteil heraustrennen</t>
  </si>
  <si>
    <t>3. Vorbereitung Neuteil und Einbau</t>
  </si>
  <si>
    <t>4. Vorbereitung zur Lackierung</t>
  </si>
  <si>
    <t>5. Lackieren</t>
  </si>
  <si>
    <t>6. Montage</t>
  </si>
  <si>
    <t>Seitenteil - Reparatur</t>
  </si>
  <si>
    <t>3. Reparatur - Vorbereitung zum Lackieren/Spachteln</t>
  </si>
  <si>
    <t>4. Lackierung</t>
  </si>
  <si>
    <t>Quelle für wirtschaftliche Nutzungsdauer von Gebäuden</t>
  </si>
  <si>
    <t>Umlegung Werkstattgebäude</t>
  </si>
  <si>
    <t>https://www.bauprofessor.de/wirtschaftliche-nutzungsdauer-gebaeude/</t>
  </si>
  <si>
    <t>ca. 50 bis 75 Jahre für gesellschaftliche Gebäude wie Schulen, Kindereinrichtungen, Büro- und Verwaltungsbauten</t>
  </si>
  <si>
    <t>ca. 30 bis 50 Jahre für Wirtschaftsgebäude und Handelseinrichtungen bzw. Marktgebäude</t>
  </si>
  <si>
    <t>Gewählt 50 Jahre</t>
  </si>
  <si>
    <t xml:space="preserve">Umlegung erfolgt auf die Zeit pro Fläche, die für den Instantdsetzungsschritt (siehe Prozesschritte) benötigt wird. </t>
  </si>
  <si>
    <t>Herstellung Primer (Papasavva et al. (2001, 2002)) (solventbased) (Annahme: inklusive Härter und Verdünnung; gleicher Datensatz für Vorgrundierung)</t>
  </si>
  <si>
    <t>Titanium dioxide</t>
  </si>
  <si>
    <t>[w%]</t>
  </si>
  <si>
    <t>Sand</t>
  </si>
  <si>
    <t xml:space="preserve">Carbon black </t>
  </si>
  <si>
    <t>Polyester resin</t>
  </si>
  <si>
    <t>PMMA</t>
  </si>
  <si>
    <t>Naphtha</t>
  </si>
  <si>
    <t>EGME</t>
  </si>
  <si>
    <t>Benzene</t>
  </si>
  <si>
    <t>Toluene</t>
  </si>
  <si>
    <t>Xylenes</t>
  </si>
  <si>
    <t>Formaldehyde</t>
  </si>
  <si>
    <t>Iron</t>
  </si>
  <si>
    <t>Melamine formaldehyde</t>
  </si>
  <si>
    <t>Ethylbenzene</t>
  </si>
  <si>
    <t>N-butyl alcohol</t>
  </si>
  <si>
    <t>butyl = butanol</t>
  </si>
  <si>
    <t>Cumene</t>
  </si>
  <si>
    <t>MTS (3-methacryloxypropyl-trimethoxy-silane)</t>
  </si>
  <si>
    <t>hierzu keinen Datensatz gefunden -&gt; Methacrylic acid ausgewählt</t>
  </si>
  <si>
    <t>Methyl isobutyl ketone</t>
  </si>
  <si>
    <t>Methyl isobutyl ketone = 4-Methyl-2-pentanon</t>
  </si>
  <si>
    <t>2-Heptanone</t>
  </si>
  <si>
    <t>Electricity</t>
  </si>
  <si>
    <t>[MJ]</t>
  </si>
  <si>
    <t>Bisher unklar welche Angaben sich auf den Herstellungsprozess selbst beziehen</t>
  </si>
  <si>
    <t>[kg]</t>
  </si>
  <si>
    <t>Herstellung Decklack(Papasavva et al. (2001, 2002)) (waterbased)</t>
  </si>
  <si>
    <t>Daten (weiß)</t>
  </si>
  <si>
    <t>Daten (Pewter)</t>
  </si>
  <si>
    <t xml:space="preserve">Input gesamt pro Lackierjob eines Autos (Material): 2,2 gal (geschätzt) -&gt; 8,33 L (Dichten, ausgerechnet: 1,14 kg/L (weiß); 1,04 kg/L (pewter)) </t>
  </si>
  <si>
    <t>Water</t>
  </si>
  <si>
    <t>[Liter]</t>
  </si>
  <si>
    <t>Angaben beziehen sich auf die Herstellung von 1kg</t>
  </si>
  <si>
    <t>Polyurethane</t>
  </si>
  <si>
    <t>EGME (ethylene glycol monobutyl ether)</t>
  </si>
  <si>
    <t>kein passender Datensatz in ecoinvent gefunden</t>
  </si>
  <si>
    <t>ethylene glycol</t>
  </si>
  <si>
    <t>2-Hexyloxyethanol</t>
  </si>
  <si>
    <t>nur Elementarfluss gefunden</t>
  </si>
  <si>
    <t>PMMA (polymethylmethacrylate)</t>
  </si>
  <si>
    <t>Aluminium</t>
  </si>
  <si>
    <t>Hier erstmal "low voltage" ausgewählt</t>
  </si>
  <si>
    <t>Decklack weiß/dunkelgrau</t>
  </si>
  <si>
    <t>Herstellung Klarlack (Papasavva et al. (2001, 2002)) (solventbased)</t>
  </si>
  <si>
    <t>Methanol</t>
  </si>
  <si>
    <t>MTS</t>
  </si>
  <si>
    <t>Butyl acetate</t>
  </si>
  <si>
    <t>Keine Angaben zur Energie</t>
  </si>
  <si>
    <t>Annahme: Energieeinsatz ist vernachlässigbar, da keine Angabe</t>
  </si>
  <si>
    <t>Keine Angaben zu Energie</t>
  </si>
  <si>
    <t>Hier keine Angaben zu möglichen Emissionen etc.</t>
  </si>
  <si>
    <t>Titandioxid</t>
  </si>
  <si>
    <t>Herstellung Spachtelmassse (Allianzstudie -&gt; teilweise Datensätze, Müller, B. -&gt; Zusammensetzung)</t>
  </si>
  <si>
    <t>polyester resin, unsaturated, at plant [RER]</t>
  </si>
  <si>
    <t>Hochreaktives, aminvorbeschleunigtes UP-Harz (ungesättigtes Polyesterharz), 65 %ig in Styrol, Säurezahl max. 15 mg
KOH/g, z.B. Roskydal K 40 T (Nuplex)</t>
  </si>
  <si>
    <t>kaolin, at plant [RER]</t>
  </si>
  <si>
    <t>styrene, at plant [RER]</t>
  </si>
  <si>
    <t>Hochreaktives, aminvorbeschleunigtes UP-Harz (ungesättigtes Polyesterharz), 65 %ig in Styrol, Säurezahl max. 15 mg
KOH/g, z.B. Roskydal K 40 T (Nuplex) + 2 % Styrol zur Viskositätseinstellung</t>
  </si>
  <si>
    <t>hydrogen peroxide, 50% in H2O, at plant [RER]</t>
  </si>
  <si>
    <t>Zweite Komponente Härter</t>
  </si>
  <si>
    <t>dolomite, at plant [RER]</t>
  </si>
  <si>
    <t>rutile, 95% titanium dioxide, at plant [AU]</t>
  </si>
  <si>
    <t>bentonite, at mine [DE]</t>
  </si>
  <si>
    <t>steatit</t>
  </si>
  <si>
    <t>chemical anorganic</t>
  </si>
  <si>
    <t>Additiv für Benetzung</t>
  </si>
  <si>
    <t xml:space="preserve">Herstellung Schleifscheibe (Gold)  (Eimert et al. 2020) </t>
  </si>
  <si>
    <t>Paper, woodcontaining, lightweight</t>
  </si>
  <si>
    <t>155 [g/m2] * 1,46 [m2] / 60 ( Discs aus 1,46)</t>
  </si>
  <si>
    <t>Latex</t>
  </si>
  <si>
    <t>Urea formaldehyde resin</t>
  </si>
  <si>
    <t>Aluminium oxide</t>
  </si>
  <si>
    <t>Phenolic resin</t>
  </si>
  <si>
    <t xml:space="preserve">Ca stearate </t>
  </si>
  <si>
    <t>Quicklime??</t>
  </si>
  <si>
    <t>Latex binder</t>
  </si>
  <si>
    <t>ist im Bericht nicht veröffentlicht -&gt; Rest ausgewählt. Eine Scheibe müsste 11,3 g wiegen und der Verschnitt 3,8 g. Kein Datensatz in ecoinvent deshalb "latex " ausgewählt</t>
  </si>
  <si>
    <t>Polyamide (Nylon)</t>
  </si>
  <si>
    <t>electricity</t>
  </si>
  <si>
    <t>kWh</t>
  </si>
  <si>
    <t>Bei der Angabe zu Energie pro Stück wirde in der Studie der Verschnitt nicht berücksichtigt</t>
  </si>
  <si>
    <t>heat</t>
  </si>
  <si>
    <t>Bei der Angabe zu Energie pro Stück wirde in der Studie der Verschnitt nicht berücksichtigt, avoided heat angegeben -&gt; unklar ob schon verrechnet</t>
  </si>
  <si>
    <t xml:space="preserve">25% Waste </t>
  </si>
  <si>
    <t>1 Stück</t>
  </si>
  <si>
    <t>CO2 (fossil)</t>
  </si>
  <si>
    <t>CO2 (bio)</t>
  </si>
  <si>
    <t xml:space="preserve">Herstellung Aufsatz Schleifblock (Abranet) (Eimert et al. 2020) </t>
  </si>
  <si>
    <t>Polyamide yarns</t>
  </si>
  <si>
    <t>245 [g/m2] * 1,46 [m2] / 60 ( Discs aus 1,46)</t>
  </si>
  <si>
    <t>?</t>
  </si>
  <si>
    <t>ist im Bericht nicht veröffentlicht, evtl Rest? Eine Scheibe müsste 14,5 g wiegen und der Verschnitt 4,8 g</t>
  </si>
  <si>
    <t>Herstellung Aufsatz Winkelschleifer (https://www.amazon.de/Pferd-43502302-Bürste-12512-Inox/dp/B00BCY0P76/ref=asc_df_B00BCY0P76/?tag=googshopde-21&amp;linkCode=df0&amp;hvadid=526386818800&amp;hvpos=&amp;hvnetw=g&amp;hvrand=803777917075087186&amp;hvpone=&amp;hvptwo=&amp;hvqmt=&amp;hvdev=c&amp;hvdvcmdl=&amp;hvlocint=&amp;hvlocphy=9043842&amp;hvtargid=pla-1399245970492&amp;th=1)</t>
  </si>
  <si>
    <t>keine Angaben zu Energie</t>
  </si>
  <si>
    <t>Herstellung Schleifpad (nach Patyk et al. (2009) und https://www.dondo.de/3M-Soft-Pad-grinding-sponges)</t>
  </si>
  <si>
    <t>Annahme: Massenverhältnis 60:30:10; gewogene Masse 7,8 g</t>
  </si>
  <si>
    <t>Polyurethanschaum</t>
  </si>
  <si>
    <t>Aluminium Oxid</t>
  </si>
  <si>
    <t>Schleifpad</t>
  </si>
  <si>
    <t>Annahme: Dichte = 1 (stimmt näherungsweise, siehe: https://www.amazon.de/Mirka-7995010111-Polarshine-10-Politur/dp/B012X37SI8)</t>
  </si>
  <si>
    <t xml:space="preserve">Car Polish </t>
  </si>
  <si>
    <t>Herstellung Polierpaste (nach: Healy et al . (1999): https://patentimages.storage.googleapis.com/18/f7/d8/03f4247efb1ef0/US5968238.pdf)</t>
  </si>
  <si>
    <t>Mineral Spirits (Flash Point 107 F. TCC) CAS #64475-85-0</t>
  </si>
  <si>
    <t>white spirit</t>
  </si>
  <si>
    <t>Mineral Spirits (Flash Point 162°F. TCC) CAS #92045-37-9</t>
  </si>
  <si>
    <t>Dimethyl Silicone, 350 centistoke</t>
  </si>
  <si>
    <t>polydimethylsiloxane</t>
  </si>
  <si>
    <t>Dimethyl Silicone, 1,000 centistoke</t>
  </si>
  <si>
    <t>Dimethyl Silicone, 10,000 centistoke</t>
  </si>
  <si>
    <t>Dimethyl Silicone, 60,000 centistoke</t>
  </si>
  <si>
    <t>Mineral Seal Oil (Kermac 600, Kerr-McGee Refining Corp.)</t>
  </si>
  <si>
    <t>base oil</t>
  </si>
  <si>
    <t xml:space="preserve">Amino Functional Silicone (GE SF-1706) </t>
  </si>
  <si>
    <t>silicone product</t>
  </si>
  <si>
    <t xml:space="preserve">Dimethicone/Trimethyl Siloxysilicate (Dow Corning 593) </t>
  </si>
  <si>
    <t>Curable Silicone Resin</t>
  </si>
  <si>
    <t>slicone product</t>
  </si>
  <si>
    <t>Sorbitan mono-oleate</t>
  </si>
  <si>
    <t>fatty acid methyl esters (https://pubchem.ncbi.nlm.nih.gov/compound/Sorbitan-monooleate)</t>
  </si>
  <si>
    <t>Deionized Water</t>
  </si>
  <si>
    <t>Sodium Bicarbonate</t>
  </si>
  <si>
    <t>Ethylene Glycol MonoButyl Ether (butyl “Cellosolve)</t>
  </si>
  <si>
    <t>1,2-dibromo-2,4-dicyanobutane (Tektamer 38, Merck)</t>
  </si>
  <si>
    <t>chemical, organic</t>
  </si>
  <si>
    <t>Herstellung Klebeband (Navajas et al_2012_Ecodesign of PVC packing tape using life cycle assessment)</t>
  </si>
  <si>
    <t>Dichte: 0,64 g/cm3, Dicke: 0,11 mm</t>
  </si>
  <si>
    <t>Cardboard</t>
  </si>
  <si>
    <t>Kraft Paper Film</t>
  </si>
  <si>
    <t>ss</t>
  </si>
  <si>
    <t>hydrocarbon resin</t>
  </si>
  <si>
    <t>C3 hydrocarbon mixture</t>
  </si>
  <si>
    <t>Natural rubber</t>
  </si>
  <si>
    <t>latex</t>
  </si>
  <si>
    <t>Abfall</t>
  </si>
  <si>
    <t>market for municipal solid waste | municipal solid waste | Cutoff, S - DE</t>
  </si>
  <si>
    <t>Herstellung Trennscheibe (aus Kirsch et al. (2014): Comparison of the embodied energy of a grinding wheel an an end mill)</t>
  </si>
  <si>
    <r>
      <t xml:space="preserve">Annahmen:
- gleich zu Schleifscheibe für Winkelschleifer
- Massenverhältnis der drei Materialien je 1/3
- Masse Trennscheibe: 22,7 g (https://www.amazon.de/PROXXON-28812-Trennscheiben-Korund-St%C3%BCck/dp/B0019F35PC)
der "Energierucksack" der Ausgangsmaterialien wird mit insgesamt 128.80 MJ angegeben </t>
    </r>
    <r>
      <rPr>
        <b/>
        <sz val="10"/>
        <rFont val="Frutiger 45 Light"/>
        <family val="2"/>
      </rPr>
      <t>(kommt mir sehr viel vor und das Verhältnis zur Masse macht keinen Sinn)</t>
    </r>
    <r>
      <rPr>
        <sz val="10"/>
        <rFont val="Frutiger 45 Light"/>
        <family val="2"/>
      </rPr>
      <t xml:space="preserve"> -&gt; In Paper von Filleti et al. (2017) sind es sogar 157,54 MJ pro Schleifschiebe (mit Abmessungen der Schleifscheibe von: 115x0,8x22 mm -&gt; 8005,41 mm3 [nach: https://webshop.korundex.de/TRENNSCHEIBEN-115-x-08-x-22-mm-ZA-60-ZZ]</t>
    </r>
  </si>
  <si>
    <t>Grain Material (pink and white fused aluminia (Korund))</t>
  </si>
  <si>
    <t>market for aluminium oxide, metallurgical</t>
  </si>
  <si>
    <t>Bond Material (Glastropfen oder Feldspat)</t>
  </si>
  <si>
    <t>market for feldspar</t>
  </si>
  <si>
    <t>Auxiliary Material (water)</t>
  </si>
  <si>
    <t>marked for water deionised</t>
  </si>
  <si>
    <t>Auxiliary Material (binder)</t>
  </si>
  <si>
    <t>market for acrylic binder</t>
  </si>
  <si>
    <t>Elektrizität</t>
  </si>
  <si>
    <t>MJ</t>
  </si>
  <si>
    <t>Energie wird vernachlässigt, da Werte nur als "embodied" energy angegeben</t>
  </si>
  <si>
    <t>Herstellung Schweißbohrer</t>
  </si>
  <si>
    <t>Annahme:
- Material: HSS-E 5% Co (https://www.amazon.de/dp/B00ELDGHI6/?tag=glv-21&amp;ascsubtag=3102700d-a2b5-4b93-9fcf-5ff2f9669e0c&amp;th=1&amp;psc=1&amp;linkCode=osi)
- geschliffener Bohrer
- 23 % des Materials werden durch Fräsen entfernt (ecoinvent datensatz)
- Masse Bohrer: 20 Gramm (siehe Quelle oben)</t>
  </si>
  <si>
    <t>HSSE (Stahlbasis)</t>
  </si>
  <si>
    <t>steel, low-alloyed, hot rolled</t>
  </si>
  <si>
    <t>Cobalt</t>
  </si>
  <si>
    <t>market for cobalt</t>
  </si>
  <si>
    <t>Fräsen</t>
  </si>
  <si>
    <t>steel removed by milling, small parts</t>
  </si>
  <si>
    <t>Bohrerbit</t>
  </si>
  <si>
    <t>Herstellung Sägeblatt</t>
  </si>
  <si>
    <t>Annahmen
- Endgewicht: 70 g (https://www.fluidonline.de/rodcraftwerkzeuge/rodcraft-blechbearbeitung/zubehoer-zur-blechbearbeitung/saegeblatt-fuer-karosseriesaege-laenge-93mm-feinverzahnt-8951011514_2893_3488)
- 10 % des Materials werden durch Fräsen + Präzisionsschleifen entfernt (eigene Annahme)
- Länge: 66mm (https://www.klickparts.com/de/werkstatt/materialbearbeitung/saegen/wuerth-karosserie-saegeblatt-mit-flachaufnahme-18tpi-kp1214105.html)</t>
  </si>
  <si>
    <t>Bi-Metall</t>
  </si>
  <si>
    <t>8%: https://docplayer.org/107422327-Bi-metall-bi-metall-saebelsaegeblatt-mit-hochwertiger-m2-stahl-verzahnung-fuer-alle-heavy-duty-anwendungen.html</t>
  </si>
  <si>
    <t>Elektronenstrahl-Schweißen</t>
  </si>
  <si>
    <t>m</t>
  </si>
  <si>
    <t>http://www.bahco-werkzeuge.de/about_sandflex.html; welding, arc, steel</t>
  </si>
  <si>
    <t>Präzisionsschleifen/Fräsen</t>
  </si>
  <si>
    <t>Karosseriesägeblatt</t>
  </si>
  <si>
    <t>Herstellung Rostschutz 2K</t>
  </si>
  <si>
    <t>Quelle: technisches Datenblatt auf: https://eshop.spieshecker.com/refinish/de_de/permasolidr-ep-primer-surfacer-4017-32676.html</t>
  </si>
  <si>
    <t>Dimethylether</t>
  </si>
  <si>
    <t>market for dimethyl ether | dimethyl ether | Cutoff, S</t>
  </si>
  <si>
    <t>Aceton</t>
  </si>
  <si>
    <t>market for acetone, liquid | acetone, liquid | Cutoff, S</t>
  </si>
  <si>
    <t>Reaktionsmasse aus Ethylbenzol und Xylol</t>
  </si>
  <si>
    <t>Annahme 100 % xylol, da Ethylbenzol nicht in EI-&gt; market for xylene | xylene | Cutoff, S</t>
  </si>
  <si>
    <t>4,4'-Isopropylidenediphenol, oligomeric reaction products with 1-chloro-2,3-epoxypropane</t>
  </si>
  <si>
    <t>market for bisphenol A epoxy based vinyl ester resin | bisphenol A epoxy based vinyl ester resin | Cutoff, S</t>
  </si>
  <si>
    <t>market for titanium dioxide | titanium dioxide | Cutoff, S</t>
  </si>
  <si>
    <t>Rostschutz 2K</t>
  </si>
  <si>
    <t>Anteiliger Strom- und Wärmeverbrauch für eine Reparatur [kWh]</t>
  </si>
  <si>
    <t>Anteiliger Strom- und Wärmeverbrauch für einen Austausch [kWh]</t>
  </si>
  <si>
    <t>Anhang C:</t>
  </si>
  <si>
    <t>Sachbilanz_Stoßfänger</t>
  </si>
  <si>
    <t>Sachbilanz_Autotür</t>
  </si>
  <si>
    <t>Sachbilanz_Seitenteil</t>
  </si>
  <si>
    <t>Allokationen</t>
  </si>
  <si>
    <t>Daten Verbrauchsmaterialien</t>
  </si>
  <si>
    <t>Anna Schulte, Janek Röttgen</t>
  </si>
  <si>
    <t>Lackier- und Karosseriewerkstatt Bultink (Identica)</t>
  </si>
  <si>
    <t>Indicator</t>
  </si>
  <si>
    <t>Autotür_Aus</t>
  </si>
  <si>
    <t>Autotür_Rep</t>
  </si>
  <si>
    <t>Stoßfänger_Aus</t>
  </si>
  <si>
    <t>Stoßfänger_Rep</t>
  </si>
  <si>
    <t>Seitenteil_Aus</t>
  </si>
  <si>
    <t>Seitenteil_Rep</t>
  </si>
  <si>
    <t>Unit</t>
  </si>
  <si>
    <t>Autotür</t>
  </si>
  <si>
    <t>Stoßfänger</t>
  </si>
  <si>
    <t>Seitenteil</t>
  </si>
  <si>
    <t>acidification - accumulated exceedance (ae)</t>
  </si>
  <si>
    <t>mol H+-Eq</t>
  </si>
  <si>
    <t>climate change - global warming potential (GWP100)</t>
  </si>
  <si>
    <t>kg CO2-Eq</t>
  </si>
  <si>
    <t>climate change: biogenic - global warming potential (GWP100)</t>
  </si>
  <si>
    <t>climate change: fossil - global warming potential (GWP100)</t>
  </si>
  <si>
    <t>climate change: land use and land use change - global warming potential (GWP100)</t>
  </si>
  <si>
    <t>ecotoxicity: freshwater - comparative toxic unit for ecosystems (CTUe)</t>
  </si>
  <si>
    <t>CTUe</t>
  </si>
  <si>
    <t>energy resources: non-renewable - abiotic depletion potential (ADP): fossil fuels</t>
  </si>
  <si>
    <t>MJ, net calorific value</t>
  </si>
  <si>
    <t>eutrophication: freshwater - fraction of nutrients reaching freshwater end compartment (P)</t>
  </si>
  <si>
    <t>kg PO4-Eq</t>
  </si>
  <si>
    <t>eutrophication: marine - fraction of nutrients reaching marine end compartment (N)</t>
  </si>
  <si>
    <t>kg N-Eq</t>
  </si>
  <si>
    <t>eutrophication: terrestrial - accumulated exceedance (AE)</t>
  </si>
  <si>
    <t>mol N-Eq</t>
  </si>
  <si>
    <t>human toxicity: carcinogenic - comparative toxic unit for human (CTUh)</t>
  </si>
  <si>
    <t>CTUh</t>
  </si>
  <si>
    <t>human toxicity: non-carcinogenic - comparative toxic unit for human (CTUh)</t>
  </si>
  <si>
    <t>ionising radiation: human health - human exposure efficiency relative to u235</t>
  </si>
  <si>
    <t>kBq U235-Eq</t>
  </si>
  <si>
    <t>land use - soil quality index</t>
  </si>
  <si>
    <t>dimensionless</t>
  </si>
  <si>
    <t>material resources: metals/minerals - abiotic depletion potential (ADP): elements (ultimate reserves)</t>
  </si>
  <si>
    <t>kg Sb-Eq</t>
  </si>
  <si>
    <t>ozone depletion - ozone depletion potential (ODP)</t>
  </si>
  <si>
    <t>kg CFC-11-Eq</t>
  </si>
  <si>
    <t>particulate matter formation - impact on human health</t>
  </si>
  <si>
    <t>disease incidence</t>
  </si>
  <si>
    <t>photochemical ozone formation: human health - tropospheric ozone concentration increase</t>
  </si>
  <si>
    <t>kg NMVOC-Eq</t>
  </si>
  <si>
    <t>water use - user deprivation potential (deprivation-weighted water consumption)</t>
  </si>
  <si>
    <t>m3 world eq. deprived</t>
  </si>
  <si>
    <t>nur diese Kategorie separat ausweisen</t>
  </si>
  <si>
    <t>Einsparungen durch Reparatur im Vergleich zum Austausch</t>
  </si>
  <si>
    <t>Tür</t>
  </si>
  <si>
    <t>Anzahl Rep besser Aus</t>
  </si>
  <si>
    <t>Szenario</t>
  </si>
  <si>
    <t>Basis</t>
  </si>
  <si>
    <t>Abweichung</t>
  </si>
  <si>
    <t>Abweichung pos</t>
  </si>
  <si>
    <t>Abweichung neg</t>
  </si>
  <si>
    <t>Transparent</t>
  </si>
  <si>
    <t>Datenbeschriftung</t>
  </si>
  <si>
    <t>Position Datenbeschriftung</t>
  </si>
  <si>
    <t>Autotür_Austausch</t>
  </si>
  <si>
    <t>Autotür_Reparatur</t>
  </si>
  <si>
    <t>Stoßfänger_Austausch</t>
  </si>
  <si>
    <t>Stoßfänger_Reparatur</t>
  </si>
  <si>
    <t>Seitenteil_Austausch</t>
  </si>
  <si>
    <t>Seitenteil_Reparatur</t>
  </si>
  <si>
    <t>acidification</t>
  </si>
  <si>
    <t>climate change</t>
  </si>
  <si>
    <t>climate change: fossil</t>
  </si>
  <si>
    <t>ecotoxicity: freshwater</t>
  </si>
  <si>
    <t>energy resources: non-renewable</t>
  </si>
  <si>
    <t>eutrophication: freshwater</t>
  </si>
  <si>
    <t>eutrophication: marine</t>
  </si>
  <si>
    <t>eutrophication: terrestrial</t>
  </si>
  <si>
    <t>human toxicity: carcinogenic</t>
  </si>
  <si>
    <t>human toxicity: non-carcinogenic</t>
  </si>
  <si>
    <t>ionising radiation: human health</t>
  </si>
  <si>
    <t>land use</t>
  </si>
  <si>
    <t>material resources: metals/minerals</t>
  </si>
  <si>
    <t>ozone depletion</t>
  </si>
  <si>
    <t>particulate matter formation</t>
  </si>
  <si>
    <t>photochemical ozone formation: human health</t>
  </si>
  <si>
    <t>water use</t>
  </si>
  <si>
    <t>Ergebnisse PV Anlage</t>
  </si>
  <si>
    <t>Ergebnisse BHKW</t>
  </si>
  <si>
    <t>Ergebnisse Recycling Stoßfänger</t>
  </si>
  <si>
    <t>Ergebnisse leichtes Neuteil</t>
  </si>
  <si>
    <t>Ergebnisse Aluminium Tür</t>
  </si>
  <si>
    <t>Ergebnisse lange Transportwege</t>
  </si>
  <si>
    <t>Ergebnisse Lackfarbe</t>
  </si>
  <si>
    <t>Ergebnisse ideales Szenario</t>
  </si>
  <si>
    <t>Szenario: Die Werkstatt erzeugt 50 % des Stroms mittels einer eigenen Photovoltaik-anlage und die übrigen 50 % entsprechen dem deutschen Strommix</t>
  </si>
  <si>
    <t>Referenz (sieheh Annahme zum Basisszenario im Hauptdokument</t>
  </si>
  <si>
    <t>Szenario: Ca. 54 % des Stroms und gleichzeitig 50 % des Wärmebedarfs werden über ein erdgasbetriebenes BHKW bereitgestellt (entsprechend der Berech-nungen der Referenzwerkstatt, welches einen Gesamtwirkungsgrad von über 90% hat).</t>
  </si>
  <si>
    <t>Szenario: Beim Austausch wird der defekte und aussortierte Stoßfänger 
einem Recycling (alternativ Wiederverwendung) anstatt einer Verbrennung zugeführt. Entsprechend wird der Stoßfänger als recyclingfähiges Material definiert (siehe Abfallbehandlung im Basisszenario)</t>
  </si>
  <si>
    <t>Szenario: Alternativ wurde hier für den Austausch eine Aluminiumtür anstatt einer Stahltür angenommen. Diese Annahme geht gleichzeitig mit einer Redukti-on des Gewichts der Tür von 10 auf 20 kg einher, da Aluminium leichter als Stahl ist.</t>
  </si>
  <si>
    <t>Ergebnisse recycelter Stoßfänger</t>
  </si>
  <si>
    <t xml:space="preserve">Szenario: Beim Austausch wird 60 % recycelter Kunststoff für den Stoßfänger betrachtet. </t>
  </si>
  <si>
    <t xml:space="preserve">Szenario: Beim Austausch wird 100 % recyceltes Aluminium für die Tür eingesetzt. </t>
  </si>
  <si>
    <t>Szenario: Kombination der zuvor beschriebenen Szenarien, die zu Einsparungen führen (dies sind die Szenarien »leichtes Neuteil«, »recycelter Stoßfän-ger« und »recyceltes Neuteil« sowie »PV-Anlage«)</t>
  </si>
  <si>
    <t>Szenario: Verwendet wurde ein alternativer Datensatz für einen grauen Lack</t>
  </si>
  <si>
    <t xml:space="preserve">Szenario: Eine Erhöhung der Transportstrecken für die Lieferung des Neuteils, um den Einfluss der Transportwege zu analysieren (2 000 km per Schiff, plus 1 000 km per Zug und 1 000 km per LKW). </t>
  </si>
  <si>
    <t>Daten zur Erstellung der Ökobilanz für den Stoßfänger</t>
  </si>
  <si>
    <t>Daten zur Erstellung der Ökobilanz für die Autotür</t>
  </si>
  <si>
    <t>Daten zur Erstellung der Ökobilanz für das Seitenteil</t>
  </si>
  <si>
    <t>Daten zur Erstellung der Ökobilanz (Energie)</t>
  </si>
  <si>
    <t>Daten zur Erstellung der Ökobilanz (recherchierte Daten/Prozesse, die als Hintergrundprozesse modelliert wurden, wenn Ecoinvent keine passenden Daten hatte)</t>
  </si>
  <si>
    <t>http://www.bahco-werkzeuge.de/about_sandflex.html; steel removed by milling, small parts (Wert nach Empfehlung ecoinvent Datensatz)</t>
  </si>
  <si>
    <t xml:space="preserve">Koordinatorin (Fraunhofer UMSICHT): </t>
  </si>
  <si>
    <t>Errechnete Arbeitskosten für alle Arbeitsschritte außer Lackierung [€]</t>
  </si>
  <si>
    <t>Errechnete Arbeitskosten für die Lackierung [€]</t>
  </si>
  <si>
    <t>Arbeitskosten (Berechnung: der Studensätze multiplziert mit dem der kalulierten Aufwand je individueller Schadenskalkulation)</t>
  </si>
  <si>
    <r>
      <t xml:space="preserve">Bemerkung: </t>
    </r>
    <r>
      <rPr>
        <sz val="10"/>
        <rFont val="Arial"/>
        <family val="2"/>
      </rPr>
      <t>Zur Verteilung der Energieverbräuche je Prozessschritt lagen die Jahresverbräuche der gesamten Werkstatt für Strom und Wärme sowie die Jahresumsätze für die Jahre 2019, 2020 und 2021 vor. Die Jahresumsätze wurden jeweils aufgeteilt in Umsatz durch Mitarbeitende (abgerechnete Stundenlöhne) und Warenumsatz. Da die Umsatz durch die Mitarbeitenden je kalkuliertem Aufwand auf Zeitbasis ermittelt wird, dient dieser als Grundlage zur Verteilung der Energie (ökonomische Allokation). Wir weisen jedoch darauf hin, dass sowohl die individuellen Schadenskalkulationen als auch die gemitttelten Umsätze hier aus Vertraulichkeitsgründen nicht dargestellt sind. Die Ergebnisse basieren auf dieser Grundlage.</t>
    </r>
  </si>
  <si>
    <t>Per Dropdown-Menü sind verschiedene Kategorien auswählbar (nächste Zeile und siehe rechte Grafik)</t>
  </si>
  <si>
    <t>Einsparungen größer + 80 %</t>
  </si>
  <si>
    <t>Einsparungen zwischen +50 und +80 %</t>
  </si>
  <si>
    <t>Einsparungen zwischen +20 und +50 %</t>
  </si>
  <si>
    <t>Einsparungen zwischen +0 und +20 %</t>
  </si>
  <si>
    <t>Keine Einsparungen (-50 bis -20%)</t>
  </si>
  <si>
    <t>Keine Einsparungen (-20 bis 0 %)</t>
  </si>
  <si>
    <t>Austausch Seitenteil (Neuteil)</t>
  </si>
  <si>
    <t>Austausch Autotür (Neuteil)</t>
  </si>
  <si>
    <t>Nicht berücksichtigt</t>
  </si>
  <si>
    <t>Fahrzeugannahme - nicht berücksichtigt</t>
  </si>
  <si>
    <t>siehe Tabellenblatt: Daten Verbrauchsmaterialien</t>
  </si>
  <si>
    <t>Siehe Tabellenblatt: Daten Verbrauchsmaterialien</t>
  </si>
  <si>
    <t>Ergebnisse Basisszenario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</si>
</sst>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_);_(* \(#,##0.00\);_(* &quot;-&quot;??_);_(@_)"/>
    <numFmt numFmtId="165" formatCode="_-* #,##0.00\ _€_-;\-* #,##0.00\ _€_-;_-* &quot;-&quot;??\ _€_-;_-@_-"/>
    <numFmt numFmtId="166" formatCode="#,##0_ ;[Red]\-#,##0\ "/>
    <numFmt numFmtId="167" formatCode="#,##0.0_ ;[Red]\-#,##0.0\ "/>
    <numFmt numFmtId="168" formatCode="#,##0.00_ ;[Red]\-#,##0.00\ "/>
    <numFmt numFmtId="169" formatCode="#,##0.000_ ;[Red]\-#,##0.000\ "/>
    <numFmt numFmtId="170" formatCode="0.0_ ;[Red]\-0.0\ "/>
    <numFmt numFmtId="171" formatCode="[$-407]d/\ mmm/\ yy;@"/>
    <numFmt numFmtId="172" formatCode="_([$€]* #,##0.00_);_([$€]* \(#,##0.00\);_([$€]* &quot;-&quot;??_);_(@_)"/>
    <numFmt numFmtId="173" formatCode="0.0000"/>
    <numFmt numFmtId="174" formatCode="#,##0.0000000000_ ;[Red]\-#,##0.0000000000\ "/>
    <numFmt numFmtId="175" formatCode="#,##0.00000000000_ ;[Red]\-#,##0.00000000000\ "/>
    <numFmt numFmtId="176" formatCode="#,##0.000000000000_ ;[Red]\-#,##0.000000000000\ "/>
    <numFmt numFmtId="177" formatCode="#,##0.0000000000000_ ;[Red]\-#,##0.0000000000000\ "/>
    <numFmt numFmtId="178" formatCode="0.000"/>
    <numFmt numFmtId="179" formatCode="0.0"/>
    <numFmt numFmtId="180" formatCode="0.0%"/>
  </numFmts>
  <fonts count="6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Frutiger 45 Light"/>
      <family val="2"/>
    </font>
    <font>
      <sz val="10"/>
      <name val="Frutiger 45 Light"/>
      <family val="2"/>
    </font>
    <font>
      <sz val="8"/>
      <name val="Frutiger 45 Light"/>
      <family val="2"/>
    </font>
    <font>
      <b/>
      <sz val="10"/>
      <name val="Arial"/>
      <family val="2"/>
    </font>
    <font>
      <sz val="8"/>
      <color indexed="81"/>
      <name val="Tahoma"/>
      <family val="2"/>
    </font>
    <font>
      <sz val="12"/>
      <color indexed="9"/>
      <name val="Frutiger 45 Light"/>
      <family val="2"/>
    </font>
    <font>
      <b/>
      <sz val="12"/>
      <color indexed="9"/>
      <name val="Frutiger 45 Light"/>
      <family val="2"/>
    </font>
    <font>
      <sz val="10"/>
      <name val="Arial"/>
      <family val="2"/>
    </font>
    <font>
      <sz val="9"/>
      <color indexed="81"/>
      <name val="Tahoma"/>
      <family val="2"/>
    </font>
    <font>
      <b/>
      <sz val="9"/>
      <color indexed="81"/>
      <name val="Tahoma"/>
      <family val="2"/>
    </font>
    <font>
      <sz val="10"/>
      <color theme="0" tint="-0.499984740745262"/>
      <name val="Frutiger 45 Light"/>
      <family val="2"/>
    </font>
    <font>
      <sz val="10"/>
      <color theme="1"/>
      <name val="Frutiger 45 Light"/>
      <family val="2"/>
    </font>
    <font>
      <sz val="10"/>
      <color theme="0"/>
      <name val="Frutiger 45 Light"/>
      <family val="2"/>
    </font>
    <font>
      <b/>
      <sz val="11"/>
      <name val="Frutiger LT Com 45 Light"/>
      <family val="2"/>
    </font>
    <font>
      <sz val="10"/>
      <color indexed="8"/>
      <name val="Arial"/>
      <family val="2"/>
    </font>
    <font>
      <sz val="10"/>
      <color indexed="9"/>
      <name val="Arial"/>
      <family val="2"/>
    </font>
    <font>
      <sz val="11"/>
      <color indexed="9"/>
      <name val="Calibri"/>
      <family val="2"/>
    </font>
    <font>
      <sz val="11"/>
      <color indexed="8"/>
      <name val="Calibri"/>
      <family val="2"/>
    </font>
    <font>
      <sz val="11"/>
      <color indexed="16"/>
      <name val="Calibri"/>
      <family val="2"/>
    </font>
    <font>
      <b/>
      <sz val="11"/>
      <color indexed="53"/>
      <name val="Calibri"/>
      <family val="2"/>
    </font>
    <font>
      <b/>
      <sz val="11"/>
      <color indexed="9"/>
      <name val="Calibri"/>
      <family val="2"/>
    </font>
    <font>
      <b/>
      <sz val="11"/>
      <color indexed="8"/>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11"/>
      <color indexed="10"/>
      <name val="Calibri"/>
      <family val="2"/>
    </font>
    <font>
      <sz val="10"/>
      <name val="Arial"/>
      <family val="2"/>
    </font>
    <font>
      <sz val="8"/>
      <color theme="1"/>
      <name val="Frutiger 45 Light"/>
      <family val="2"/>
    </font>
    <font>
      <sz val="10"/>
      <name val="Frutiger 45 Light"/>
      <family val="2"/>
    </font>
    <font>
      <sz val="12"/>
      <color theme="1"/>
      <name val="Frutiger 45 Light"/>
      <family val="2"/>
    </font>
    <font>
      <b/>
      <sz val="10"/>
      <color theme="1"/>
      <name val="Frutiger 45 Light"/>
      <family val="2"/>
    </font>
    <font>
      <vertAlign val="superscript"/>
      <sz val="10"/>
      <name val="Frutiger 45 Light"/>
      <family val="2"/>
    </font>
    <font>
      <sz val="9"/>
      <color indexed="81"/>
      <name val="Segoe UI"/>
      <family val="2"/>
    </font>
    <font>
      <b/>
      <sz val="9"/>
      <color indexed="81"/>
      <name val="Segoe UI"/>
      <family val="2"/>
    </font>
    <font>
      <sz val="12"/>
      <name val="Frutiger 45 Light"/>
      <family val="2"/>
    </font>
    <font>
      <sz val="10"/>
      <color theme="2"/>
      <name val="Arial"/>
      <family val="2"/>
    </font>
    <font>
      <b/>
      <sz val="11"/>
      <color theme="1"/>
      <name val="Calibri"/>
      <family val="2"/>
      <scheme val="minor"/>
    </font>
    <font>
      <sz val="11"/>
      <color theme="1"/>
      <name val="Calibri"/>
      <family val="2"/>
    </font>
    <font>
      <b/>
      <sz val="11"/>
      <color theme="0"/>
      <name val="Calibri"/>
      <family val="2"/>
      <scheme val="minor"/>
    </font>
    <font>
      <sz val="11"/>
      <color rgb="FFC00000"/>
      <name val="Calibri"/>
      <family val="2"/>
      <scheme val="minor"/>
    </font>
    <font>
      <sz val="10"/>
      <color theme="0"/>
      <name val="Arial"/>
      <family val="2"/>
    </font>
    <font>
      <u/>
      <sz val="10"/>
      <color theme="10"/>
      <name val="Arial"/>
      <family val="2"/>
    </font>
  </fonts>
  <fills count="65">
    <fill>
      <patternFill patternType="none"/>
    </fill>
    <fill>
      <patternFill patternType="gray125"/>
    </fill>
    <fill>
      <patternFill patternType="solid">
        <fgColor indexed="42"/>
        <bgColor indexed="64"/>
      </patternFill>
    </fill>
    <fill>
      <patternFill patternType="solid">
        <fgColor indexed="11"/>
        <bgColor indexed="64"/>
      </patternFill>
    </fill>
    <fill>
      <patternFill patternType="solid">
        <fgColor indexed="10"/>
        <bgColor indexed="64"/>
      </patternFill>
    </fill>
    <fill>
      <patternFill patternType="solid">
        <fgColor theme="0"/>
        <bgColor indexed="64"/>
      </patternFill>
    </fill>
    <fill>
      <patternFill patternType="solid">
        <fgColor theme="4"/>
        <bgColor indexed="64"/>
      </patternFill>
    </fill>
    <fill>
      <patternFill patternType="solid">
        <fgColor theme="4" tint="0.39997558519241921"/>
        <bgColor indexed="64"/>
      </patternFill>
    </fill>
    <fill>
      <patternFill patternType="solid">
        <fgColor theme="8"/>
        <bgColor indexed="64"/>
      </patternFill>
    </fill>
    <fill>
      <patternFill patternType="solid">
        <fgColor theme="0" tint="-0.34998626667073579"/>
        <bgColor indexed="64"/>
      </patternFill>
    </fill>
    <fill>
      <patternFill patternType="solid">
        <fgColor theme="2"/>
        <bgColor indexed="64"/>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theme="3" tint="0.39997558519241921"/>
        <bgColor indexed="64"/>
      </patternFill>
    </fill>
    <fill>
      <patternFill patternType="solid">
        <fgColor theme="3" tint="0.59999389629810485"/>
        <bgColor indexed="64"/>
      </patternFill>
    </fill>
    <fill>
      <patternFill patternType="solid">
        <fgColor theme="3"/>
        <bgColor indexed="64"/>
      </patternFill>
    </fill>
    <fill>
      <patternFill patternType="solid">
        <fgColor rgb="FF92D050"/>
        <bgColor indexed="64"/>
      </patternFill>
    </fill>
    <fill>
      <patternFill patternType="solid">
        <fgColor theme="8" tint="-9.9978637043366805E-2"/>
        <bgColor indexed="64"/>
      </patternFill>
    </fill>
    <fill>
      <patternFill patternType="solid">
        <fgColor theme="5"/>
        <bgColor indexed="64"/>
      </patternFill>
    </fill>
    <fill>
      <patternFill patternType="solid">
        <fgColor rgb="FFC4F7EB"/>
        <bgColor indexed="64"/>
      </patternFill>
    </fill>
    <fill>
      <patternFill patternType="solid">
        <fgColor theme="6"/>
        <bgColor indexed="64"/>
      </patternFill>
    </fill>
    <fill>
      <patternFill patternType="solid">
        <fgColor rgb="FFA1F1E0"/>
        <bgColor indexed="64"/>
      </patternFill>
    </fill>
    <fill>
      <patternFill patternType="solid">
        <fgColor rgb="FFD7F9F1"/>
        <bgColor indexed="64"/>
      </patternFill>
    </fill>
    <fill>
      <patternFill patternType="solid">
        <fgColor rgb="FFFF6161"/>
        <bgColor indexed="64"/>
      </patternFill>
    </fill>
    <fill>
      <patternFill patternType="solid">
        <fgColor rgb="FFFF9999"/>
        <bgColor indexed="64"/>
      </patternFill>
    </fill>
    <fill>
      <patternFill patternType="solid">
        <fgColor theme="3" tint="-0.499984740745262"/>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s>
  <cellStyleXfs count="116">
    <xf numFmtId="0" fontId="0" fillId="0" borderId="0"/>
    <xf numFmtId="0" fontId="12" fillId="0" borderId="0"/>
    <xf numFmtId="0" fontId="12" fillId="0" borderId="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2"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20" fillId="17" borderId="0" applyNumberFormat="0" applyBorder="0" applyAlignment="0" applyProtection="0"/>
    <xf numFmtId="0" fontId="20" fillId="12"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1" fillId="23" borderId="0" applyNumberFormat="0" applyBorder="0" applyAlignment="0" applyProtection="0"/>
    <xf numFmtId="0" fontId="21" fillId="34" borderId="0" applyNumberFormat="0" applyBorder="0" applyAlignment="0" applyProtection="0"/>
    <xf numFmtId="0" fontId="22" fillId="35" borderId="0" applyNumberFormat="0" applyBorder="0" applyAlignment="0" applyProtection="0"/>
    <xf numFmtId="0" fontId="22" fillId="27" borderId="0" applyNumberFormat="0" applyBorder="0" applyAlignment="0" applyProtection="0"/>
    <xf numFmtId="0" fontId="21" fillId="36" borderId="0" applyNumberFormat="0" applyBorder="0" applyAlignment="0" applyProtection="0"/>
    <xf numFmtId="0" fontId="23" fillId="27" borderId="0" applyNumberFormat="0" applyBorder="0" applyAlignment="0" applyProtection="0"/>
    <xf numFmtId="0" fontId="24" fillId="37" borderId="5" applyNumberFormat="0" applyAlignment="0" applyProtection="0"/>
    <xf numFmtId="0" fontId="25" fillId="28" borderId="6" applyNumberFormat="0" applyAlignment="0" applyProtection="0"/>
    <xf numFmtId="0" fontId="26" fillId="38"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172" fontId="12" fillId="0" borderId="0" applyFont="0" applyFill="0" applyBorder="0" applyAlignment="0" applyProtection="0"/>
    <xf numFmtId="0" fontId="27" fillId="0" borderId="0" applyNumberFormat="0" applyFill="0" applyBorder="0" applyAlignment="0" applyProtection="0"/>
    <xf numFmtId="0" fontId="28" fillId="41" borderId="0" applyNumberFormat="0" applyBorder="0" applyAlignment="0" applyProtection="0"/>
    <xf numFmtId="0" fontId="29" fillId="0" borderId="7" applyNumberFormat="0" applyFill="0" applyAlignment="0" applyProtection="0"/>
    <xf numFmtId="0" fontId="30" fillId="0" borderId="8" applyNumberFormat="0" applyFill="0" applyAlignment="0" applyProtection="0"/>
    <xf numFmtId="0" fontId="31" fillId="0" borderId="9" applyNumberFormat="0" applyFill="0" applyAlignment="0" applyProtection="0"/>
    <xf numFmtId="0" fontId="31" fillId="0" borderId="0" applyNumberFormat="0" applyFill="0" applyBorder="0" applyAlignment="0" applyProtection="0"/>
    <xf numFmtId="0" fontId="32" fillId="36" borderId="5" applyNumberFormat="0" applyAlignment="0" applyProtection="0"/>
    <xf numFmtId="165" fontId="12" fillId="0" borderId="0" applyFont="0" applyFill="0" applyBorder="0" applyAlignment="0" applyProtection="0"/>
    <xf numFmtId="0" fontId="33" fillId="0" borderId="10" applyNumberFormat="0" applyFill="0" applyAlignment="0" applyProtection="0"/>
    <xf numFmtId="0" fontId="34" fillId="36" borderId="0" applyNumberFormat="0" applyBorder="0" applyAlignment="0" applyProtection="0"/>
    <xf numFmtId="0" fontId="12" fillId="35" borderId="11" applyNumberFormat="0" applyFont="0" applyAlignment="0" applyProtection="0"/>
    <xf numFmtId="0" fontId="35" fillId="37" borderId="12"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4" fontId="36" fillId="42" borderId="13" applyNumberFormat="0" applyProtection="0">
      <alignment vertical="center"/>
    </xf>
    <xf numFmtId="4" fontId="37" fillId="42" borderId="13" applyNumberFormat="0" applyProtection="0">
      <alignment vertical="center"/>
    </xf>
    <xf numFmtId="4" fontId="36" fillId="42" borderId="13" applyNumberFormat="0" applyProtection="0">
      <alignment horizontal="left" vertical="center" indent="1"/>
    </xf>
    <xf numFmtId="0" fontId="36" fillId="42" borderId="13" applyNumberFormat="0" applyProtection="0">
      <alignment horizontal="left" vertical="top" indent="1"/>
    </xf>
    <xf numFmtId="4" fontId="36" fillId="11" borderId="0" applyNumberFormat="0" applyProtection="0">
      <alignment horizontal="left" vertical="center" indent="1"/>
    </xf>
    <xf numFmtId="4" fontId="19" fillId="16" borderId="13" applyNumberFormat="0" applyProtection="0">
      <alignment horizontal="right" vertical="center"/>
    </xf>
    <xf numFmtId="4" fontId="19" fillId="12" borderId="13" applyNumberFormat="0" applyProtection="0">
      <alignment horizontal="right" vertical="center"/>
    </xf>
    <xf numFmtId="4" fontId="19" fillId="43" borderId="13" applyNumberFormat="0" applyProtection="0">
      <alignment horizontal="right" vertical="center"/>
    </xf>
    <xf numFmtId="4" fontId="19" fillId="44" borderId="13" applyNumberFormat="0" applyProtection="0">
      <alignment horizontal="right" vertical="center"/>
    </xf>
    <xf numFmtId="4" fontId="19" fillId="45" borderId="13" applyNumberFormat="0" applyProtection="0">
      <alignment horizontal="right" vertical="center"/>
    </xf>
    <xf numFmtId="4" fontId="19" fillId="46" borderId="13" applyNumberFormat="0" applyProtection="0">
      <alignment horizontal="right" vertical="center"/>
    </xf>
    <xf numFmtId="4" fontId="19" fillId="18" borderId="13" applyNumberFormat="0" applyProtection="0">
      <alignment horizontal="right" vertical="center"/>
    </xf>
    <xf numFmtId="4" fontId="19" fillId="47" borderId="13" applyNumberFormat="0" applyProtection="0">
      <alignment horizontal="right" vertical="center"/>
    </xf>
    <xf numFmtId="4" fontId="19" fillId="48" borderId="13" applyNumberFormat="0" applyProtection="0">
      <alignment horizontal="right" vertical="center"/>
    </xf>
    <xf numFmtId="4" fontId="36" fillId="49" borderId="14" applyNumberFormat="0" applyProtection="0">
      <alignment horizontal="left" vertical="center" indent="1"/>
    </xf>
    <xf numFmtId="4" fontId="19" fillId="50" borderId="0" applyNumberFormat="0" applyProtection="0">
      <alignment horizontal="left" vertical="center" indent="1"/>
    </xf>
    <xf numFmtId="4" fontId="38" fillId="17" borderId="0" applyNumberFormat="0" applyProtection="0">
      <alignment horizontal="left" vertical="center" indent="1"/>
    </xf>
    <xf numFmtId="4" fontId="19" fillId="11" borderId="13" applyNumberFormat="0" applyProtection="0">
      <alignment horizontal="right" vertical="center"/>
    </xf>
    <xf numFmtId="4" fontId="19" fillId="50" borderId="0" applyNumberFormat="0" applyProtection="0">
      <alignment horizontal="left" vertical="center" indent="1"/>
    </xf>
    <xf numFmtId="4" fontId="19" fillId="50" borderId="0" applyNumberFormat="0" applyProtection="0">
      <alignment horizontal="left" vertical="center" indent="1"/>
    </xf>
    <xf numFmtId="4" fontId="19" fillId="11" borderId="0" applyNumberFormat="0" applyProtection="0">
      <alignment horizontal="left" vertical="center" indent="1"/>
    </xf>
    <xf numFmtId="4" fontId="19" fillId="11" borderId="0" applyNumberFormat="0" applyProtection="0">
      <alignment horizontal="left" vertical="center" indent="1"/>
    </xf>
    <xf numFmtId="0" fontId="12" fillId="17" borderId="13" applyNumberFormat="0" applyProtection="0">
      <alignment horizontal="left" vertical="center" indent="1"/>
    </xf>
    <xf numFmtId="0" fontId="12" fillId="17" borderId="13" applyNumberFormat="0" applyProtection="0">
      <alignment horizontal="left" vertical="top" indent="1"/>
    </xf>
    <xf numFmtId="0" fontId="12" fillId="11" borderId="13" applyNumberFormat="0" applyProtection="0">
      <alignment horizontal="left" vertical="center" indent="1"/>
    </xf>
    <xf numFmtId="0" fontId="12" fillId="11" borderId="13" applyNumberFormat="0" applyProtection="0">
      <alignment horizontal="left" vertical="top" indent="1"/>
    </xf>
    <xf numFmtId="0" fontId="12" fillId="15" borderId="13" applyNumberFormat="0" applyProtection="0">
      <alignment horizontal="left" vertical="center" indent="1"/>
    </xf>
    <xf numFmtId="0" fontId="12" fillId="15" borderId="13" applyNumberFormat="0" applyProtection="0">
      <alignment horizontal="left" vertical="top" indent="1"/>
    </xf>
    <xf numFmtId="0" fontId="12" fillId="50" borderId="13" applyNumberFormat="0" applyProtection="0">
      <alignment horizontal="left" vertical="center" indent="1"/>
    </xf>
    <xf numFmtId="0" fontId="12" fillId="50" borderId="13" applyNumberFormat="0" applyProtection="0">
      <alignment horizontal="left" vertical="top" indent="1"/>
    </xf>
    <xf numFmtId="0" fontId="12" fillId="14" borderId="1" applyNumberFormat="0">
      <protection locked="0"/>
    </xf>
    <xf numFmtId="4" fontId="19" fillId="13" borderId="13" applyNumberFormat="0" applyProtection="0">
      <alignment vertical="center"/>
    </xf>
    <xf numFmtId="4" fontId="39" fillId="13" borderId="13" applyNumberFormat="0" applyProtection="0">
      <alignment vertical="center"/>
    </xf>
    <xf numFmtId="4" fontId="19" fillId="13" borderId="13" applyNumberFormat="0" applyProtection="0">
      <alignment horizontal="left" vertical="center" indent="1"/>
    </xf>
    <xf numFmtId="0" fontId="19" fillId="13" borderId="13" applyNumberFormat="0" applyProtection="0">
      <alignment horizontal="left" vertical="top" indent="1"/>
    </xf>
    <xf numFmtId="4" fontId="19" fillId="50" borderId="13" applyNumberFormat="0" applyProtection="0">
      <alignment horizontal="right" vertical="center"/>
    </xf>
    <xf numFmtId="4" fontId="39" fillId="50" borderId="13" applyNumberFormat="0" applyProtection="0">
      <alignment horizontal="right" vertical="center"/>
    </xf>
    <xf numFmtId="4" fontId="19" fillId="11" borderId="13" applyNumberFormat="0" applyProtection="0">
      <alignment horizontal="left" vertical="center" indent="1"/>
    </xf>
    <xf numFmtId="0" fontId="19" fillId="11" borderId="13" applyNumberFormat="0" applyProtection="0">
      <alignment horizontal="left" vertical="top" indent="1"/>
    </xf>
    <xf numFmtId="4" fontId="40" fillId="51" borderId="0" applyNumberFormat="0" applyProtection="0">
      <alignment horizontal="left" vertical="center" indent="1"/>
    </xf>
    <xf numFmtId="4" fontId="41" fillId="50" borderId="13" applyNumberFormat="0" applyProtection="0">
      <alignment horizontal="right" vertical="center"/>
    </xf>
    <xf numFmtId="0" fontId="42" fillId="0" borderId="0" applyNumberFormat="0" applyFill="0" applyBorder="0" applyAlignment="0" applyProtection="0"/>
    <xf numFmtId="0" fontId="12" fillId="0" borderId="0">
      <alignment vertical="top"/>
    </xf>
    <xf numFmtId="0" fontId="42" fillId="0" borderId="0" applyNumberFormat="0" applyFill="0" applyBorder="0" applyAlignment="0" applyProtection="0"/>
    <xf numFmtId="0" fontId="26" fillId="0" borderId="15" applyNumberFormat="0" applyFill="0" applyAlignment="0" applyProtection="0"/>
    <xf numFmtId="0" fontId="43" fillId="0" borderId="0" applyNumberFormat="0" applyFill="0" applyBorder="0" applyAlignment="0" applyProtection="0"/>
    <xf numFmtId="164" fontId="44" fillId="0" borderId="0" applyFont="0" applyFill="0" applyBorder="0" applyAlignment="0" applyProtection="0"/>
    <xf numFmtId="0" fontId="3" fillId="0" borderId="0"/>
    <xf numFmtId="9" fontId="3" fillId="0" borderId="0" applyFont="0" applyFill="0" applyBorder="0" applyAlignment="0" applyProtection="0"/>
    <xf numFmtId="0" fontId="59" fillId="0" borderId="0" applyNumberFormat="0" applyFill="0" applyBorder="0" applyAlignment="0" applyProtection="0"/>
  </cellStyleXfs>
  <cellXfs count="248">
    <xf numFmtId="0" fontId="0" fillId="0" borderId="0" xfId="0"/>
    <xf numFmtId="0" fontId="6" fillId="0" borderId="0" xfId="0" applyFont="1" applyAlignment="1">
      <alignment vertical="top" wrapText="1"/>
    </xf>
    <xf numFmtId="0" fontId="6" fillId="0" borderId="1" xfId="0" applyFont="1" applyBorder="1" applyAlignment="1">
      <alignment vertical="top" wrapText="1"/>
    </xf>
    <xf numFmtId="0" fontId="6" fillId="0" borderId="1" xfId="0" applyFont="1" applyBorder="1" applyAlignment="1">
      <alignment horizontal="left" vertical="top" wrapText="1"/>
    </xf>
    <xf numFmtId="0" fontId="6" fillId="0" borderId="2" xfId="0" applyFont="1" applyBorder="1" applyAlignment="1">
      <alignment horizontal="left" vertical="top" wrapText="1"/>
    </xf>
    <xf numFmtId="0" fontId="8" fillId="0" borderId="0" xfId="0" applyFont="1" applyAlignment="1">
      <alignment vertical="top" wrapText="1"/>
    </xf>
    <xf numFmtId="0" fontId="0" fillId="0" borderId="0" xfId="0" applyAlignment="1">
      <alignment vertical="top" wrapText="1"/>
    </xf>
    <xf numFmtId="0" fontId="6" fillId="0" borderId="0" xfId="0" applyFont="1" applyAlignment="1">
      <alignment horizontal="left" vertical="top" wrapText="1"/>
    </xf>
    <xf numFmtId="0" fontId="10" fillId="3" borderId="0" xfId="0" applyFont="1" applyFill="1" applyAlignment="1">
      <alignment vertical="top" wrapText="1"/>
    </xf>
    <xf numFmtId="0" fontId="11" fillId="3" borderId="0" xfId="0" applyFont="1" applyFill="1" applyAlignment="1">
      <alignment vertical="top" wrapText="1"/>
    </xf>
    <xf numFmtId="0" fontId="5" fillId="2" borderId="1" xfId="0" applyFont="1" applyFill="1" applyBorder="1" applyAlignment="1">
      <alignment horizontal="left" vertical="top" wrapText="1"/>
    </xf>
    <xf numFmtId="0" fontId="5" fillId="2" borderId="1" xfId="0" applyFont="1" applyFill="1" applyBorder="1" applyAlignment="1">
      <alignment vertical="top" wrapText="1"/>
    </xf>
    <xf numFmtId="3" fontId="6" fillId="0" borderId="0" xfId="0" applyNumberFormat="1" applyFont="1" applyAlignment="1">
      <alignment vertical="top" wrapText="1"/>
    </xf>
    <xf numFmtId="0" fontId="12" fillId="0" borderId="0" xfId="0" applyFont="1"/>
    <xf numFmtId="166" fontId="16" fillId="5" borderId="1" xfId="0" applyNumberFormat="1" applyFont="1" applyFill="1" applyBorder="1" applyAlignment="1">
      <alignment horizontal="right" vertical="top" wrapText="1"/>
    </xf>
    <xf numFmtId="0" fontId="6" fillId="5" borderId="1" xfId="0" applyFont="1" applyFill="1" applyBorder="1" applyAlignment="1">
      <alignment horizontal="left" vertical="top" wrapText="1"/>
    </xf>
    <xf numFmtId="0" fontId="6" fillId="5" borderId="1" xfId="0" applyFont="1" applyFill="1" applyBorder="1" applyAlignment="1">
      <alignment vertical="top" wrapText="1"/>
    </xf>
    <xf numFmtId="0" fontId="6" fillId="0" borderId="0" xfId="0" applyFont="1" applyAlignment="1">
      <alignment horizontal="center" vertical="top"/>
    </xf>
    <xf numFmtId="0" fontId="5" fillId="2" borderId="1" xfId="0" applyFont="1" applyFill="1" applyBorder="1" applyAlignment="1">
      <alignment horizontal="center" vertical="top" wrapText="1"/>
    </xf>
    <xf numFmtId="0" fontId="6" fillId="4" borderId="1" xfId="0" applyFont="1" applyFill="1" applyBorder="1" applyAlignment="1">
      <alignment horizontal="right" vertical="top" wrapText="1"/>
    </xf>
    <xf numFmtId="0" fontId="7" fillId="0" borderId="1" xfId="0" applyFont="1" applyBorder="1" applyAlignment="1">
      <alignment horizontal="center" vertical="top" wrapText="1"/>
    </xf>
    <xf numFmtId="0" fontId="7" fillId="0" borderId="1" xfId="0" applyFont="1" applyBorder="1" applyAlignment="1">
      <alignment vertical="top" wrapText="1"/>
    </xf>
    <xf numFmtId="0" fontId="17" fillId="0" borderId="0" xfId="0" applyFont="1" applyAlignment="1">
      <alignment vertical="top"/>
    </xf>
    <xf numFmtId="0" fontId="6" fillId="8" borderId="1" xfId="0" applyFont="1" applyFill="1" applyBorder="1" applyAlignment="1">
      <alignment horizontal="right" vertical="top" wrapText="1"/>
    </xf>
    <xf numFmtId="166" fontId="16" fillId="8" borderId="1" xfId="0" applyNumberFormat="1" applyFont="1" applyFill="1" applyBorder="1" applyAlignment="1">
      <alignment horizontal="right" vertical="top" wrapText="1"/>
    </xf>
    <xf numFmtId="166" fontId="6" fillId="8" borderId="1" xfId="0" applyNumberFormat="1" applyFont="1" applyFill="1" applyBorder="1" applyAlignment="1">
      <alignment horizontal="right" vertical="top" wrapText="1"/>
    </xf>
    <xf numFmtId="0" fontId="6" fillId="0" borderId="0" xfId="0" applyFont="1" applyAlignment="1">
      <alignment vertical="top"/>
    </xf>
    <xf numFmtId="0" fontId="7" fillId="0" borderId="1" xfId="0" applyFont="1" applyBorder="1" applyAlignment="1">
      <alignment horizontal="left" vertical="top" wrapText="1"/>
    </xf>
    <xf numFmtId="1" fontId="7" fillId="0" borderId="1" xfId="0" applyNumberFormat="1" applyFont="1" applyBorder="1" applyAlignment="1">
      <alignment horizontal="left" vertical="top" wrapText="1"/>
    </xf>
    <xf numFmtId="166" fontId="16" fillId="0" borderId="1" xfId="0" applyNumberFormat="1" applyFont="1" applyBorder="1" applyAlignment="1">
      <alignment horizontal="left" vertical="top" wrapText="1"/>
    </xf>
    <xf numFmtId="167" fontId="6" fillId="8" borderId="1" xfId="0" applyNumberFormat="1" applyFont="1" applyFill="1" applyBorder="1" applyAlignment="1">
      <alignment horizontal="right" vertical="top" wrapText="1"/>
    </xf>
    <xf numFmtId="166" fontId="16" fillId="5" borderId="1" xfId="0" applyNumberFormat="1" applyFont="1" applyFill="1" applyBorder="1" applyAlignment="1">
      <alignment horizontal="left" vertical="top" wrapText="1"/>
    </xf>
    <xf numFmtId="170" fontId="6" fillId="8" borderId="1" xfId="0" applyNumberFormat="1" applyFont="1" applyFill="1" applyBorder="1" applyAlignment="1">
      <alignment horizontal="right" vertical="top" wrapText="1"/>
    </xf>
    <xf numFmtId="166" fontId="15" fillId="8" borderId="1" xfId="0" applyNumberFormat="1" applyFont="1" applyFill="1" applyBorder="1" applyAlignment="1">
      <alignment horizontal="right" vertical="top" wrapText="1"/>
    </xf>
    <xf numFmtId="169" fontId="6" fillId="8" borderId="1" xfId="0" applyNumberFormat="1" applyFont="1" applyFill="1" applyBorder="1" applyAlignment="1">
      <alignment horizontal="right" vertical="top" wrapText="1"/>
    </xf>
    <xf numFmtId="0" fontId="5" fillId="7" borderId="1" xfId="0" applyFont="1" applyFill="1" applyBorder="1" applyAlignment="1">
      <alignment horizontal="center" vertical="top" wrapText="1"/>
    </xf>
    <xf numFmtId="0" fontId="5" fillId="7" borderId="4" xfId="0" applyFont="1" applyFill="1" applyBorder="1" applyAlignment="1">
      <alignment vertical="top"/>
    </xf>
    <xf numFmtId="0" fontId="18" fillId="9" borderId="0" xfId="1" applyFont="1" applyFill="1"/>
    <xf numFmtId="0" fontId="12" fillId="9" borderId="0" xfId="1" applyFill="1"/>
    <xf numFmtId="0" fontId="6" fillId="0" borderId="0" xfId="1" applyFont="1" applyAlignment="1">
      <alignment horizontal="left" vertical="top"/>
    </xf>
    <xf numFmtId="0" fontId="12" fillId="0" borderId="0" xfId="1"/>
    <xf numFmtId="0" fontId="6" fillId="0" borderId="0" xfId="1" applyFont="1" applyAlignment="1">
      <alignment vertical="top"/>
    </xf>
    <xf numFmtId="171" fontId="6" fillId="0" borderId="0" xfId="1" applyNumberFormat="1" applyFont="1"/>
    <xf numFmtId="0" fontId="7" fillId="0" borderId="0" xfId="0" applyFont="1" applyAlignment="1">
      <alignment vertical="top" wrapText="1"/>
    </xf>
    <xf numFmtId="0" fontId="16" fillId="0" borderId="0" xfId="0" applyFont="1" applyAlignment="1">
      <alignment vertical="top" wrapText="1"/>
    </xf>
    <xf numFmtId="0" fontId="17" fillId="0" borderId="0" xfId="0" applyFont="1" applyAlignment="1">
      <alignment vertical="top" wrapText="1"/>
    </xf>
    <xf numFmtId="0" fontId="5" fillId="0" borderId="2" xfId="0" applyFont="1" applyBorder="1" applyAlignment="1">
      <alignment horizontal="left" vertical="top" wrapText="1"/>
    </xf>
    <xf numFmtId="0" fontId="5" fillId="0" borderId="1" xfId="0" applyFont="1" applyBorder="1" applyAlignment="1">
      <alignment horizontal="left" vertical="top" wrapText="1"/>
    </xf>
    <xf numFmtId="0" fontId="5" fillId="5" borderId="1" xfId="0" applyFont="1" applyFill="1" applyBorder="1" applyAlignment="1">
      <alignment vertical="top" wrapText="1"/>
    </xf>
    <xf numFmtId="0" fontId="0" fillId="0" borderId="1" xfId="0" applyBorder="1" applyAlignment="1">
      <alignment vertical="top" wrapText="1"/>
    </xf>
    <xf numFmtId="0" fontId="6" fillId="5" borderId="2" xfId="0" applyFont="1" applyFill="1" applyBorder="1" applyAlignment="1">
      <alignment vertical="top" wrapText="1"/>
    </xf>
    <xf numFmtId="1" fontId="7" fillId="0" borderId="0" xfId="0" applyNumberFormat="1" applyFont="1" applyAlignment="1">
      <alignment horizontal="left" vertical="top" wrapText="1"/>
    </xf>
    <xf numFmtId="166" fontId="6" fillId="0" borderId="0" xfId="0" applyNumberFormat="1" applyFont="1" applyAlignment="1">
      <alignment horizontal="right" vertical="top" wrapText="1"/>
    </xf>
    <xf numFmtId="0" fontId="6" fillId="0" borderId="0" xfId="0" applyFont="1" applyAlignment="1">
      <alignment horizontal="right" vertical="top" wrapText="1"/>
    </xf>
    <xf numFmtId="166" fontId="16" fillId="0" borderId="0" xfId="0" applyNumberFormat="1" applyFont="1" applyAlignment="1">
      <alignment horizontal="right" vertical="top" wrapText="1"/>
    </xf>
    <xf numFmtId="0" fontId="6" fillId="0" borderId="1" xfId="0" applyFont="1" applyBorder="1" applyAlignment="1">
      <alignment horizontal="center" vertical="top"/>
    </xf>
    <xf numFmtId="164" fontId="6" fillId="5" borderId="2" xfId="112" applyFont="1" applyFill="1" applyBorder="1" applyAlignment="1">
      <alignment horizontal="left" vertical="top" wrapText="1"/>
    </xf>
    <xf numFmtId="164" fontId="15" fillId="8" borderId="1" xfId="112" applyFont="1" applyFill="1" applyBorder="1" applyAlignment="1">
      <alignment horizontal="right" vertical="top" wrapText="1"/>
    </xf>
    <xf numFmtId="164" fontId="6" fillId="8" borderId="1" xfId="112" applyFont="1" applyFill="1" applyBorder="1" applyAlignment="1">
      <alignment horizontal="right" vertical="top" wrapText="1"/>
    </xf>
    <xf numFmtId="164" fontId="16" fillId="8" borderId="1" xfId="112" applyFont="1" applyFill="1" applyBorder="1" applyAlignment="1">
      <alignment horizontal="right" vertical="top" wrapText="1"/>
    </xf>
    <xf numFmtId="164" fontId="6" fillId="4" borderId="1" xfId="112" applyFont="1" applyFill="1" applyBorder="1" applyAlignment="1">
      <alignment horizontal="right" vertical="top" wrapText="1"/>
    </xf>
    <xf numFmtId="164" fontId="16" fillId="5" borderId="1" xfId="112" applyFont="1" applyFill="1" applyBorder="1" applyAlignment="1">
      <alignment horizontal="right" vertical="top" wrapText="1"/>
    </xf>
    <xf numFmtId="164" fontId="6" fillId="0" borderId="1" xfId="112" applyFont="1" applyFill="1" applyBorder="1" applyAlignment="1">
      <alignment vertical="top" wrapText="1"/>
    </xf>
    <xf numFmtId="164" fontId="0" fillId="0" borderId="0" xfId="112" applyFont="1" applyAlignment="1">
      <alignment vertical="top" wrapText="1"/>
    </xf>
    <xf numFmtId="0" fontId="5" fillId="0" borderId="2" xfId="112" applyNumberFormat="1" applyFont="1" applyBorder="1" applyAlignment="1">
      <alignment horizontal="left" vertical="top" wrapText="1"/>
    </xf>
    <xf numFmtId="0" fontId="0" fillId="8" borderId="1" xfId="0" applyFill="1" applyBorder="1" applyAlignment="1">
      <alignment vertical="top" wrapText="1"/>
    </xf>
    <xf numFmtId="0" fontId="6" fillId="2" borderId="1" xfId="0" applyFont="1" applyFill="1" applyBorder="1" applyAlignment="1">
      <alignment horizontal="left" vertical="top" wrapText="1"/>
    </xf>
    <xf numFmtId="166" fontId="15" fillId="0" borderId="0" xfId="0" applyNumberFormat="1" applyFont="1" applyAlignment="1">
      <alignment horizontal="right" vertical="top" wrapText="1"/>
    </xf>
    <xf numFmtId="0" fontId="11" fillId="3" borderId="4" xfId="0" applyFont="1" applyFill="1" applyBorder="1" applyAlignment="1">
      <alignment vertical="top" wrapText="1"/>
    </xf>
    <xf numFmtId="0" fontId="10" fillId="3" borderId="4" xfId="0" applyFont="1" applyFill="1" applyBorder="1" applyAlignment="1">
      <alignment vertical="top" wrapText="1"/>
    </xf>
    <xf numFmtId="0" fontId="6" fillId="0" borderId="2" xfId="0" applyFont="1" applyBorder="1" applyAlignment="1">
      <alignment vertical="top" wrapText="1"/>
    </xf>
    <xf numFmtId="0" fontId="5" fillId="0" borderId="1" xfId="0" applyFont="1" applyBorder="1" applyAlignment="1">
      <alignment vertical="top" wrapText="1"/>
    </xf>
    <xf numFmtId="0" fontId="5" fillId="0" borderId="2" xfId="112" applyNumberFormat="1" applyFont="1" applyFill="1" applyBorder="1" applyAlignment="1">
      <alignment horizontal="left" vertical="top" wrapText="1"/>
    </xf>
    <xf numFmtId="0" fontId="16" fillId="8" borderId="1" xfId="0" applyFont="1" applyFill="1" applyBorder="1" applyAlignment="1">
      <alignment horizontal="right" vertical="top" wrapText="1"/>
    </xf>
    <xf numFmtId="1" fontId="45" fillId="8" borderId="1" xfId="0" applyNumberFormat="1" applyFont="1" applyFill="1" applyBorder="1" applyAlignment="1">
      <alignment horizontal="left" vertical="top" wrapText="1"/>
    </xf>
    <xf numFmtId="0" fontId="6" fillId="52" borderId="2" xfId="0" applyFont="1" applyFill="1" applyBorder="1" applyAlignment="1">
      <alignment horizontal="left" vertical="top" wrapText="1"/>
    </xf>
    <xf numFmtId="0" fontId="6" fillId="52" borderId="1" xfId="0" applyFont="1" applyFill="1" applyBorder="1" applyAlignment="1">
      <alignment vertical="top" wrapText="1"/>
    </xf>
    <xf numFmtId="0" fontId="10" fillId="3" borderId="0" xfId="0" applyFont="1" applyFill="1" applyAlignment="1">
      <alignment horizontal="left" vertical="top" wrapText="1"/>
    </xf>
    <xf numFmtId="166" fontId="6" fillId="8" borderId="1" xfId="0" applyNumberFormat="1" applyFont="1" applyFill="1" applyBorder="1" applyAlignment="1">
      <alignment horizontal="left" vertical="top" wrapText="1"/>
    </xf>
    <xf numFmtId="0" fontId="6" fillId="8" borderId="1" xfId="0" applyFont="1" applyFill="1" applyBorder="1" applyAlignment="1">
      <alignment horizontal="left" vertical="top" wrapText="1"/>
    </xf>
    <xf numFmtId="167" fontId="6" fillId="8" borderId="1" xfId="0" applyNumberFormat="1" applyFont="1" applyFill="1" applyBorder="1" applyAlignment="1">
      <alignment horizontal="left" vertical="top" wrapText="1"/>
    </xf>
    <xf numFmtId="168" fontId="6" fillId="8" borderId="1" xfId="0" applyNumberFormat="1" applyFont="1" applyFill="1" applyBorder="1" applyAlignment="1">
      <alignment horizontal="left" vertical="top" wrapText="1"/>
    </xf>
    <xf numFmtId="164" fontId="6" fillId="8" borderId="1" xfId="112" applyFont="1" applyFill="1" applyBorder="1" applyAlignment="1">
      <alignment horizontal="left" vertical="top" wrapText="1"/>
    </xf>
    <xf numFmtId="166" fontId="16" fillId="8" borderId="1" xfId="0" applyNumberFormat="1" applyFont="1" applyFill="1" applyBorder="1" applyAlignment="1">
      <alignment horizontal="left" vertical="top" wrapText="1"/>
    </xf>
    <xf numFmtId="166" fontId="6" fillId="0" borderId="0" xfId="0" applyNumberFormat="1" applyFont="1" applyAlignment="1">
      <alignment horizontal="left" vertical="top" wrapText="1"/>
    </xf>
    <xf numFmtId="0" fontId="10" fillId="3" borderId="4" xfId="0" applyFont="1" applyFill="1" applyBorder="1" applyAlignment="1">
      <alignment horizontal="left" vertical="top" wrapText="1"/>
    </xf>
    <xf numFmtId="0" fontId="46" fillId="0" borderId="0" xfId="0" applyFont="1" applyAlignment="1">
      <alignment vertical="top" wrapText="1"/>
    </xf>
    <xf numFmtId="0" fontId="6" fillId="2" borderId="1" xfId="0" applyFont="1" applyFill="1" applyBorder="1" applyAlignment="1">
      <alignment vertical="top" wrapText="1"/>
    </xf>
    <xf numFmtId="0" fontId="47" fillId="3" borderId="0" xfId="0" applyFont="1" applyFill="1" applyAlignment="1">
      <alignment vertical="top" wrapText="1"/>
    </xf>
    <xf numFmtId="0" fontId="48" fillId="2" borderId="1" xfId="0" applyFont="1" applyFill="1" applyBorder="1" applyAlignment="1">
      <alignment vertical="top" wrapText="1"/>
    </xf>
    <xf numFmtId="0" fontId="16" fillId="8" borderId="1" xfId="112" applyNumberFormat="1" applyFont="1" applyFill="1" applyBorder="1" applyAlignment="1">
      <alignment horizontal="right" vertical="top" wrapText="1"/>
    </xf>
    <xf numFmtId="0" fontId="16" fillId="0" borderId="0" xfId="0" applyFont="1" applyAlignment="1">
      <alignment horizontal="right" vertical="top" wrapText="1"/>
    </xf>
    <xf numFmtId="0" fontId="47" fillId="3" borderId="4" xfId="0" applyFont="1" applyFill="1" applyBorder="1" applyAlignment="1">
      <alignment vertical="top" wrapText="1"/>
    </xf>
    <xf numFmtId="0" fontId="16" fillId="2" borderId="1" xfId="0" applyFont="1" applyFill="1" applyBorder="1" applyAlignment="1">
      <alignment vertical="top" wrapText="1"/>
    </xf>
    <xf numFmtId="16" fontId="16" fillId="8" borderId="1" xfId="0" applyNumberFormat="1" applyFont="1" applyFill="1" applyBorder="1" applyAlignment="1">
      <alignment horizontal="right" vertical="top" wrapText="1"/>
    </xf>
    <xf numFmtId="0" fontId="6" fillId="7" borderId="1" xfId="0" applyFont="1" applyFill="1" applyBorder="1" applyAlignment="1">
      <alignment horizontal="center" vertical="top" wrapText="1"/>
    </xf>
    <xf numFmtId="0" fontId="6" fillId="2" borderId="1" xfId="0" applyFont="1" applyFill="1" applyBorder="1" applyAlignment="1">
      <alignment horizontal="center" vertical="top" wrapText="1"/>
    </xf>
    <xf numFmtId="0" fontId="5" fillId="0" borderId="2" xfId="0" applyFont="1" applyBorder="1" applyAlignment="1">
      <alignment vertical="top" wrapText="1"/>
    </xf>
    <xf numFmtId="0" fontId="6" fillId="5" borderId="2" xfId="0" applyFont="1" applyFill="1" applyBorder="1" applyAlignment="1">
      <alignment horizontal="left" vertical="top" wrapText="1"/>
    </xf>
    <xf numFmtId="0" fontId="15" fillId="8" borderId="1" xfId="0" applyFont="1" applyFill="1" applyBorder="1" applyAlignment="1">
      <alignment horizontal="right" vertical="top" wrapText="1"/>
    </xf>
    <xf numFmtId="0" fontId="6" fillId="6" borderId="1" xfId="0" applyFont="1" applyFill="1" applyBorder="1" applyAlignment="1">
      <alignment horizontal="right" vertical="top" wrapText="1"/>
    </xf>
    <xf numFmtId="0" fontId="15" fillId="8" borderId="1" xfId="112" applyNumberFormat="1" applyFont="1" applyFill="1" applyBorder="1" applyAlignment="1">
      <alignment horizontal="right" vertical="top" wrapText="1"/>
    </xf>
    <xf numFmtId="0" fontId="15" fillId="0" borderId="0" xfId="0" applyFont="1" applyAlignment="1">
      <alignment horizontal="right" vertical="top" wrapText="1"/>
    </xf>
    <xf numFmtId="16" fontId="6" fillId="2" borderId="1" xfId="0" applyNumberFormat="1" applyFont="1" applyFill="1" applyBorder="1" applyAlignment="1">
      <alignment vertical="top" wrapText="1"/>
    </xf>
    <xf numFmtId="0" fontId="5" fillId="0" borderId="17" xfId="0" applyFont="1" applyBorder="1" applyAlignment="1">
      <alignment horizontal="left" vertical="top" wrapText="1"/>
    </xf>
    <xf numFmtId="0" fontId="11" fillId="0" borderId="1" xfId="0" applyFont="1" applyBorder="1" applyAlignment="1">
      <alignment horizontal="left" vertical="top" wrapText="1"/>
    </xf>
    <xf numFmtId="0" fontId="5" fillId="9" borderId="17" xfId="0" applyFont="1" applyFill="1" applyBorder="1" applyAlignment="1">
      <alignment horizontal="left" vertical="top" wrapText="1"/>
    </xf>
    <xf numFmtId="166" fontId="6" fillId="8" borderId="17" xfId="0" applyNumberFormat="1" applyFont="1" applyFill="1" applyBorder="1" applyAlignment="1">
      <alignment horizontal="left" vertical="top" wrapText="1"/>
    </xf>
    <xf numFmtId="166" fontId="6" fillId="8" borderId="17" xfId="0" applyNumberFormat="1" applyFont="1" applyFill="1" applyBorder="1" applyAlignment="1">
      <alignment vertical="top" wrapText="1"/>
    </xf>
    <xf numFmtId="166" fontId="6" fillId="8" borderId="1" xfId="0" applyNumberFormat="1" applyFont="1" applyFill="1" applyBorder="1" applyAlignment="1">
      <alignment vertical="top" wrapText="1"/>
    </xf>
    <xf numFmtId="173" fontId="6" fillId="8" borderId="1" xfId="0" applyNumberFormat="1" applyFont="1" applyFill="1" applyBorder="1" applyAlignment="1">
      <alignment horizontal="right" vertical="top" wrapText="1"/>
    </xf>
    <xf numFmtId="166" fontId="16" fillId="8" borderId="16" xfId="0" applyNumberFormat="1" applyFont="1" applyFill="1" applyBorder="1" applyAlignment="1">
      <alignment horizontal="right" vertical="top" wrapText="1"/>
    </xf>
    <xf numFmtId="0" fontId="6" fillId="8" borderId="16" xfId="0" applyFont="1" applyFill="1" applyBorder="1" applyAlignment="1">
      <alignment horizontal="right" vertical="top" wrapText="1"/>
    </xf>
    <xf numFmtId="0" fontId="6" fillId="8" borderId="1" xfId="0" applyFont="1" applyFill="1" applyBorder="1" applyAlignment="1">
      <alignment vertical="top" wrapText="1"/>
    </xf>
    <xf numFmtId="0" fontId="6" fillId="53" borderId="1" xfId="0" applyFont="1" applyFill="1" applyBorder="1" applyAlignment="1">
      <alignment horizontal="left" vertical="top" wrapText="1"/>
    </xf>
    <xf numFmtId="173" fontId="0" fillId="0" borderId="0" xfId="0" applyNumberFormat="1"/>
    <xf numFmtId="0" fontId="0" fillId="0" borderId="0" xfId="0" applyAlignment="1">
      <alignment wrapText="1"/>
    </xf>
    <xf numFmtId="0" fontId="6" fillId="0" borderId="18" xfId="0" applyFont="1" applyBorder="1" applyAlignment="1">
      <alignment horizontal="left" vertical="top" wrapText="1"/>
    </xf>
    <xf numFmtId="173" fontId="6" fillId="8" borderId="19" xfId="0" applyNumberFormat="1" applyFont="1" applyFill="1" applyBorder="1" applyAlignment="1">
      <alignment horizontal="right" vertical="top" wrapText="1"/>
    </xf>
    <xf numFmtId="0" fontId="0" fillId="0" borderId="1" xfId="0" applyBorder="1"/>
    <xf numFmtId="0" fontId="52" fillId="0" borderId="17" xfId="0" applyFont="1" applyBorder="1" applyAlignment="1">
      <alignment horizontal="left" vertical="top" wrapText="1"/>
    </xf>
    <xf numFmtId="166" fontId="5" fillId="8" borderId="1" xfId="0" applyNumberFormat="1" applyFont="1" applyFill="1" applyBorder="1" applyAlignment="1">
      <alignment horizontal="left" vertical="top" wrapText="1"/>
    </xf>
    <xf numFmtId="166" fontId="16" fillId="8" borderId="19" xfId="0" applyNumberFormat="1" applyFont="1" applyFill="1" applyBorder="1" applyAlignment="1">
      <alignment horizontal="right" vertical="top" wrapText="1"/>
    </xf>
    <xf numFmtId="0" fontId="6" fillId="4" borderId="19" xfId="0" applyFont="1" applyFill="1" applyBorder="1" applyAlignment="1">
      <alignment horizontal="right" vertical="top" wrapText="1"/>
    </xf>
    <xf numFmtId="0" fontId="0" fillId="0" borderId="19" xfId="0" applyBorder="1" applyAlignment="1">
      <alignment vertical="top" wrapText="1"/>
    </xf>
    <xf numFmtId="0" fontId="6" fillId="0" borderId="19" xfId="0" applyFont="1" applyBorder="1" applyAlignment="1">
      <alignment vertical="top" wrapText="1"/>
    </xf>
    <xf numFmtId="0" fontId="5" fillId="7" borderId="3" xfId="0" applyFont="1" applyFill="1" applyBorder="1" applyAlignment="1">
      <alignment vertical="top"/>
    </xf>
    <xf numFmtId="166" fontId="16" fillId="0" borderId="20" xfId="0" applyNumberFormat="1" applyFont="1" applyBorder="1" applyAlignment="1">
      <alignment horizontal="right" vertical="top" wrapText="1"/>
    </xf>
    <xf numFmtId="0" fontId="6" fillId="0" borderId="20" xfId="0" applyFont="1" applyBorder="1" applyAlignment="1">
      <alignment horizontal="right" vertical="top" wrapText="1"/>
    </xf>
    <xf numFmtId="0" fontId="0" fillId="0" borderId="20" xfId="0" applyBorder="1" applyAlignment="1">
      <alignment vertical="top" wrapText="1"/>
    </xf>
    <xf numFmtId="0" fontId="6" fillId="0" borderId="20" xfId="0" applyFont="1" applyBorder="1" applyAlignment="1">
      <alignment vertical="top" wrapText="1"/>
    </xf>
    <xf numFmtId="166" fontId="16" fillId="0" borderId="3" xfId="0" applyNumberFormat="1" applyFont="1" applyBorder="1" applyAlignment="1">
      <alignment horizontal="right" vertical="top" wrapText="1"/>
    </xf>
    <xf numFmtId="0" fontId="6" fillId="0" borderId="3" xfId="0" applyFont="1" applyBorder="1" applyAlignment="1">
      <alignment horizontal="right" vertical="top" wrapText="1"/>
    </xf>
    <xf numFmtId="1" fontId="7" fillId="0" borderId="3" xfId="0" applyNumberFormat="1" applyFont="1" applyBorder="1" applyAlignment="1">
      <alignment horizontal="left" vertical="top" wrapText="1"/>
    </xf>
    <xf numFmtId="0" fontId="6" fillId="0" borderId="3" xfId="0" applyFont="1" applyBorder="1" applyAlignment="1">
      <alignment vertical="top" wrapText="1"/>
    </xf>
    <xf numFmtId="0" fontId="6" fillId="53" borderId="0" xfId="0" applyFont="1" applyFill="1" applyAlignment="1">
      <alignment horizontal="left" vertical="top" wrapText="1"/>
    </xf>
    <xf numFmtId="0" fontId="16" fillId="0" borderId="21" xfId="0" applyFont="1" applyBorder="1" applyAlignment="1">
      <alignment horizontal="right" vertical="top" wrapText="1"/>
    </xf>
    <xf numFmtId="166" fontId="6" fillId="8" borderId="19" xfId="0" applyNumberFormat="1" applyFont="1" applyFill="1" applyBorder="1" applyAlignment="1">
      <alignment horizontal="left" vertical="top" wrapText="1"/>
    </xf>
    <xf numFmtId="166" fontId="6" fillId="0" borderId="20" xfId="0" applyNumberFormat="1" applyFont="1" applyBorder="1" applyAlignment="1">
      <alignment horizontal="left" vertical="top" wrapText="1"/>
    </xf>
    <xf numFmtId="166" fontId="6" fillId="0" borderId="3" xfId="0" applyNumberFormat="1" applyFont="1" applyBorder="1" applyAlignment="1">
      <alignment horizontal="left" vertical="top" wrapText="1"/>
    </xf>
    <xf numFmtId="2" fontId="0" fillId="0" borderId="0" xfId="0" applyNumberFormat="1"/>
    <xf numFmtId="0" fontId="53" fillId="0" borderId="0" xfId="0" applyFont="1"/>
    <xf numFmtId="0" fontId="16" fillId="8" borderId="1" xfId="0" applyFont="1" applyFill="1" applyBorder="1" applyAlignment="1">
      <alignment horizontal="left" vertical="top" wrapText="1"/>
    </xf>
    <xf numFmtId="174" fontId="6" fillId="8" borderId="1" xfId="0" applyNumberFormat="1" applyFont="1" applyFill="1" applyBorder="1" applyAlignment="1">
      <alignment horizontal="right" vertical="top" wrapText="1"/>
    </xf>
    <xf numFmtId="175" fontId="6" fillId="8" borderId="1" xfId="0" applyNumberFormat="1" applyFont="1" applyFill="1" applyBorder="1" applyAlignment="1">
      <alignment horizontal="right" vertical="top" wrapText="1"/>
    </xf>
    <xf numFmtId="176" fontId="6" fillId="8" borderId="1" xfId="0" applyNumberFormat="1" applyFont="1" applyFill="1" applyBorder="1" applyAlignment="1">
      <alignment horizontal="right" vertical="top" wrapText="1"/>
    </xf>
    <xf numFmtId="177" fontId="6" fillId="8" borderId="1" xfId="0" applyNumberFormat="1" applyFont="1" applyFill="1" applyBorder="1" applyAlignment="1">
      <alignment horizontal="right" vertical="top" wrapText="1"/>
    </xf>
    <xf numFmtId="3" fontId="6" fillId="8" borderId="1" xfId="0" applyNumberFormat="1" applyFont="1" applyFill="1" applyBorder="1" applyAlignment="1">
      <alignment vertical="top" wrapText="1"/>
    </xf>
    <xf numFmtId="0" fontId="6" fillId="8" borderId="0" xfId="0" applyFont="1" applyFill="1" applyAlignment="1">
      <alignment horizontal="left" vertical="top" wrapText="1"/>
    </xf>
    <xf numFmtId="0" fontId="5" fillId="10" borderId="1" xfId="0" applyFont="1" applyFill="1" applyBorder="1" applyAlignment="1">
      <alignment vertical="top" wrapText="1"/>
    </xf>
    <xf numFmtId="0" fontId="5" fillId="10" borderId="1" xfId="0" applyFont="1" applyFill="1" applyBorder="1" applyAlignment="1">
      <alignment horizontal="center" vertical="top" wrapText="1"/>
    </xf>
    <xf numFmtId="166" fontId="6" fillId="8" borderId="2" xfId="0" applyNumberFormat="1" applyFont="1" applyFill="1" applyBorder="1" applyAlignment="1">
      <alignment horizontal="right" vertical="top" wrapText="1"/>
    </xf>
    <xf numFmtId="166" fontId="16" fillId="8" borderId="2" xfId="0" applyNumberFormat="1" applyFont="1" applyFill="1" applyBorder="1" applyAlignment="1">
      <alignment horizontal="right" vertical="top" wrapText="1"/>
    </xf>
    <xf numFmtId="0" fontId="5" fillId="0" borderId="0" xfId="0" applyFont="1" applyAlignment="1">
      <alignment horizontal="center" vertical="top"/>
    </xf>
    <xf numFmtId="0" fontId="6" fillId="55" borderId="1" xfId="0" applyFont="1" applyFill="1" applyBorder="1" applyAlignment="1">
      <alignment horizontal="left" vertical="top" wrapText="1"/>
    </xf>
    <xf numFmtId="0" fontId="6" fillId="56" borderId="1" xfId="0" applyFont="1" applyFill="1" applyBorder="1" applyAlignment="1">
      <alignment horizontal="left" vertical="top" wrapText="1"/>
    </xf>
    <xf numFmtId="0" fontId="6" fillId="57" borderId="1" xfId="0" applyFont="1" applyFill="1" applyBorder="1" applyAlignment="1">
      <alignment horizontal="left" vertical="top" wrapText="1"/>
    </xf>
    <xf numFmtId="166" fontId="6" fillId="8" borderId="0" xfId="0" applyNumberFormat="1" applyFont="1" applyFill="1" applyAlignment="1">
      <alignment horizontal="left" vertical="top" wrapText="1"/>
    </xf>
    <xf numFmtId="0" fontId="6" fillId="0" borderId="2" xfId="112" applyNumberFormat="1" applyFont="1" applyBorder="1" applyAlignment="1">
      <alignment horizontal="left" vertical="top" wrapText="1"/>
    </xf>
    <xf numFmtId="0" fontId="5" fillId="8" borderId="1" xfId="0" applyFont="1" applyFill="1" applyBorder="1" applyAlignment="1">
      <alignment vertical="top" wrapText="1"/>
    </xf>
    <xf numFmtId="0" fontId="6" fillId="6" borderId="2" xfId="0" applyFont="1" applyFill="1" applyBorder="1" applyAlignment="1">
      <alignment horizontal="left" vertical="top" wrapText="1"/>
    </xf>
    <xf numFmtId="0" fontId="6" fillId="8" borderId="0" xfId="0" applyFont="1" applyFill="1" applyAlignment="1">
      <alignment vertical="top" wrapText="1"/>
    </xf>
    <xf numFmtId="166" fontId="6" fillId="8" borderId="17" xfId="0" applyNumberFormat="1" applyFont="1" applyFill="1" applyBorder="1" applyAlignment="1">
      <alignment horizontal="right" vertical="top" wrapText="1"/>
    </xf>
    <xf numFmtId="166" fontId="16" fillId="8" borderId="17" xfId="0" applyNumberFormat="1" applyFont="1" applyFill="1" applyBorder="1" applyAlignment="1">
      <alignment horizontal="right" vertical="top" wrapText="1"/>
    </xf>
    <xf numFmtId="0" fontId="6" fillId="0" borderId="17" xfId="0" applyFont="1" applyBorder="1" applyAlignment="1">
      <alignment vertical="top" wrapText="1"/>
    </xf>
    <xf numFmtId="2" fontId="48" fillId="8" borderId="1" xfId="0" applyNumberFormat="1" applyFont="1" applyFill="1" applyBorder="1" applyAlignment="1">
      <alignment horizontal="right" vertical="top" wrapText="1"/>
    </xf>
    <xf numFmtId="169" fontId="5" fillId="8" borderId="1" xfId="0" applyNumberFormat="1" applyFont="1" applyFill="1" applyBorder="1" applyAlignment="1">
      <alignment horizontal="right" vertical="top" wrapText="1"/>
    </xf>
    <xf numFmtId="0" fontId="48" fillId="8" borderId="1" xfId="0" applyFont="1" applyFill="1" applyBorder="1" applyAlignment="1">
      <alignment horizontal="right" vertical="top" wrapText="1"/>
    </xf>
    <xf numFmtId="166" fontId="5" fillId="8" borderId="1" xfId="0" applyNumberFormat="1" applyFont="1" applyFill="1" applyBorder="1" applyAlignment="1">
      <alignment horizontal="right" vertical="top" wrapText="1"/>
    </xf>
    <xf numFmtId="2" fontId="5" fillId="8" borderId="1" xfId="0" applyNumberFormat="1" applyFont="1" applyFill="1" applyBorder="1" applyAlignment="1">
      <alignment horizontal="right" vertical="top" wrapText="1"/>
    </xf>
    <xf numFmtId="167" fontId="5" fillId="8" borderId="1" xfId="0" applyNumberFormat="1" applyFont="1" applyFill="1" applyBorder="1" applyAlignment="1">
      <alignment horizontal="right" vertical="top" wrapText="1"/>
    </xf>
    <xf numFmtId="166" fontId="48" fillId="8" borderId="1" xfId="0" applyNumberFormat="1" applyFont="1" applyFill="1" applyBorder="1" applyAlignment="1">
      <alignment horizontal="right" vertical="top" wrapText="1"/>
    </xf>
    <xf numFmtId="0" fontId="5" fillId="8" borderId="1" xfId="0" applyFont="1" applyFill="1" applyBorder="1" applyAlignment="1">
      <alignment horizontal="right" vertical="top" wrapText="1"/>
    </xf>
    <xf numFmtId="166" fontId="5" fillId="8" borderId="2" xfId="0" applyNumberFormat="1" applyFont="1" applyFill="1" applyBorder="1" applyAlignment="1">
      <alignment horizontal="right" vertical="top" wrapText="1"/>
    </xf>
    <xf numFmtId="0" fontId="12" fillId="8" borderId="0" xfId="0" applyFont="1" applyFill="1" applyAlignment="1">
      <alignment vertical="top" wrapText="1"/>
    </xf>
    <xf numFmtId="0" fontId="0" fillId="8" borderId="25" xfId="0" applyFill="1" applyBorder="1" applyAlignment="1">
      <alignment vertical="top" wrapText="1"/>
    </xf>
    <xf numFmtId="1" fontId="7" fillId="8" borderId="1" xfId="0" applyNumberFormat="1" applyFont="1" applyFill="1" applyBorder="1" applyAlignment="1">
      <alignment horizontal="left" vertical="top" wrapText="1"/>
    </xf>
    <xf numFmtId="0" fontId="12" fillId="8" borderId="25" xfId="0" applyFont="1" applyFill="1" applyBorder="1" applyAlignment="1">
      <alignment vertical="top" wrapText="1"/>
    </xf>
    <xf numFmtId="0" fontId="0" fillId="8" borderId="18" xfId="0" applyFill="1" applyBorder="1" applyAlignment="1">
      <alignment vertical="top" wrapText="1"/>
    </xf>
    <xf numFmtId="0" fontId="12" fillId="8" borderId="18" xfId="0" applyFont="1" applyFill="1" applyBorder="1" applyAlignment="1">
      <alignment vertical="top" wrapText="1"/>
    </xf>
    <xf numFmtId="0" fontId="12" fillId="8" borderId="1" xfId="0" applyFont="1" applyFill="1" applyBorder="1" applyAlignment="1">
      <alignment vertical="top" wrapText="1"/>
    </xf>
    <xf numFmtId="0" fontId="6" fillId="0" borderId="17" xfId="0" applyFont="1" applyBorder="1" applyAlignment="1">
      <alignment horizontal="left" vertical="top" wrapText="1"/>
    </xf>
    <xf numFmtId="0" fontId="5" fillId="0" borderId="0" xfId="0" applyFont="1" applyAlignment="1">
      <alignment vertical="top" wrapText="1"/>
    </xf>
    <xf numFmtId="179" fontId="0" fillId="0" borderId="0" xfId="0" applyNumberFormat="1"/>
    <xf numFmtId="0" fontId="8" fillId="0" borderId="0" xfId="0" applyFont="1"/>
    <xf numFmtId="0" fontId="3" fillId="0" borderId="0" xfId="113"/>
    <xf numFmtId="0" fontId="54" fillId="0" borderId="0" xfId="113" applyFont="1"/>
    <xf numFmtId="2" fontId="3" fillId="0" borderId="0" xfId="113" applyNumberFormat="1"/>
    <xf numFmtId="179" fontId="3" fillId="0" borderId="0" xfId="113" applyNumberFormat="1"/>
    <xf numFmtId="180" fontId="0" fillId="0" borderId="0" xfId="114" applyNumberFormat="1" applyFont="1"/>
    <xf numFmtId="178" fontId="3" fillId="0" borderId="0" xfId="113" applyNumberFormat="1"/>
    <xf numFmtId="11" fontId="3" fillId="0" borderId="0" xfId="113" applyNumberFormat="1"/>
    <xf numFmtId="10" fontId="3" fillId="0" borderId="0" xfId="113" applyNumberFormat="1"/>
    <xf numFmtId="180" fontId="0" fillId="60" borderId="0" xfId="114" applyNumberFormat="1" applyFont="1" applyFill="1"/>
    <xf numFmtId="9" fontId="0" fillId="60" borderId="0" xfId="114" applyFont="1" applyFill="1"/>
    <xf numFmtId="0" fontId="3" fillId="61" borderId="0" xfId="113" applyFill="1"/>
    <xf numFmtId="180" fontId="0" fillId="62" borderId="0" xfId="114" applyNumberFormat="1" applyFont="1" applyFill="1"/>
    <xf numFmtId="0" fontId="3" fillId="63" borderId="0" xfId="113" applyFill="1"/>
    <xf numFmtId="180" fontId="0" fillId="61" borderId="0" xfId="114" applyNumberFormat="1" applyFont="1" applyFill="1"/>
    <xf numFmtId="180" fontId="0" fillId="63" borderId="0" xfId="114" applyNumberFormat="1" applyFont="1" applyFill="1"/>
    <xf numFmtId="9" fontId="0" fillId="0" borderId="0" xfId="114" applyFont="1"/>
    <xf numFmtId="180" fontId="3" fillId="0" borderId="0" xfId="113" applyNumberFormat="1"/>
    <xf numFmtId="0" fontId="2" fillId="64" borderId="0" xfId="113" applyFont="1" applyFill="1"/>
    <xf numFmtId="0" fontId="2" fillId="54" borderId="0" xfId="113" applyFont="1" applyFill="1"/>
    <xf numFmtId="179" fontId="0" fillId="58" borderId="0" xfId="0" applyNumberFormat="1" applyFill="1" applyAlignment="1">
      <alignment horizontal="center" vertical="center"/>
    </xf>
    <xf numFmtId="0" fontId="0" fillId="0" borderId="0" xfId="0" applyAlignment="1">
      <alignment vertical="center"/>
    </xf>
    <xf numFmtId="0" fontId="0" fillId="0" borderId="26" xfId="0" applyBorder="1"/>
    <xf numFmtId="0" fontId="56" fillId="59" borderId="0" xfId="113" applyFont="1" applyFill="1"/>
    <xf numFmtId="0" fontId="57" fillId="0" borderId="0" xfId="113" applyFont="1"/>
    <xf numFmtId="180" fontId="58" fillId="64" borderId="0" xfId="114" applyNumberFormat="1" applyFont="1" applyFill="1"/>
    <xf numFmtId="180" fontId="0" fillId="54" borderId="0" xfId="114" applyNumberFormat="1" applyFont="1" applyFill="1"/>
    <xf numFmtId="0" fontId="55" fillId="0" borderId="0" xfId="113" applyFont="1"/>
    <xf numFmtId="2" fontId="16" fillId="8" borderId="1" xfId="0" applyNumberFormat="1" applyFont="1" applyFill="1" applyBorder="1" applyAlignment="1">
      <alignment horizontal="right" vertical="top" wrapText="1"/>
    </xf>
    <xf numFmtId="164" fontId="0" fillId="0" borderId="0" xfId="112" applyFont="1" applyFill="1" applyAlignment="1">
      <alignment vertical="top" wrapText="1"/>
    </xf>
    <xf numFmtId="0" fontId="59" fillId="0" borderId="0" xfId="115"/>
    <xf numFmtId="0" fontId="1" fillId="0" borderId="0" xfId="113" applyFont="1"/>
    <xf numFmtId="0" fontId="6" fillId="2" borderId="2" xfId="0" applyFont="1" applyFill="1" applyBorder="1" applyAlignment="1">
      <alignment horizontal="left" vertical="top" wrapText="1"/>
    </xf>
    <xf numFmtId="0" fontId="6" fillId="2" borderId="4" xfId="0" applyFont="1" applyFill="1" applyBorder="1" applyAlignment="1">
      <alignment horizontal="left" vertical="top" wrapText="1"/>
    </xf>
    <xf numFmtId="0" fontId="6" fillId="2" borderId="16" xfId="0" applyFont="1" applyFill="1" applyBorder="1" applyAlignment="1">
      <alignment horizontal="left" vertical="top" wrapText="1"/>
    </xf>
    <xf numFmtId="0" fontId="5" fillId="6" borderId="3" xfId="0" applyFont="1" applyFill="1" applyBorder="1" applyAlignment="1">
      <alignment horizontal="center" vertical="top"/>
    </xf>
    <xf numFmtId="0" fontId="5" fillId="7" borderId="4" xfId="0" applyFont="1" applyFill="1" applyBorder="1" applyAlignment="1">
      <alignment horizontal="center" vertical="top"/>
    </xf>
    <xf numFmtId="166" fontId="6" fillId="8" borderId="2" xfId="0" applyNumberFormat="1" applyFont="1" applyFill="1" applyBorder="1" applyAlignment="1">
      <alignment horizontal="left" vertical="top" wrapText="1"/>
    </xf>
    <xf numFmtId="166" fontId="6" fillId="8" borderId="4" xfId="0" applyNumberFormat="1" applyFont="1" applyFill="1" applyBorder="1" applyAlignment="1">
      <alignment horizontal="left" vertical="top" wrapText="1"/>
    </xf>
    <xf numFmtId="166" fontId="6" fillId="8" borderId="16" xfId="0" applyNumberFormat="1" applyFont="1" applyFill="1" applyBorder="1" applyAlignment="1">
      <alignment horizontal="left" vertical="top" wrapText="1"/>
    </xf>
    <xf numFmtId="0" fontId="5" fillId="7" borderId="3" xfId="0" applyFont="1" applyFill="1" applyBorder="1" applyAlignment="1">
      <alignment horizontal="center" vertical="top"/>
    </xf>
    <xf numFmtId="166" fontId="6" fillId="8" borderId="1" xfId="0" applyNumberFormat="1" applyFont="1" applyFill="1" applyBorder="1" applyAlignment="1">
      <alignment horizontal="left" vertical="top" wrapText="1"/>
    </xf>
    <xf numFmtId="166" fontId="6" fillId="8" borderId="19" xfId="0" applyNumberFormat="1" applyFont="1" applyFill="1" applyBorder="1" applyAlignment="1">
      <alignment horizontal="left" vertical="top" wrapText="1"/>
    </xf>
    <xf numFmtId="166" fontId="6" fillId="8" borderId="27" xfId="0" applyNumberFormat="1" applyFont="1" applyFill="1" applyBorder="1" applyAlignment="1">
      <alignment horizontal="left" vertical="top" wrapText="1"/>
    </xf>
    <xf numFmtId="166" fontId="6" fillId="8" borderId="17" xfId="0" applyNumberFormat="1" applyFont="1" applyFill="1" applyBorder="1" applyAlignment="1">
      <alignment horizontal="left" vertical="top" wrapText="1"/>
    </xf>
    <xf numFmtId="0" fontId="6" fillId="10" borderId="2" xfId="0" applyFont="1" applyFill="1" applyBorder="1" applyAlignment="1">
      <alignment horizontal="left" vertical="top" wrapText="1"/>
    </xf>
    <xf numFmtId="0" fontId="6" fillId="10" borderId="4" xfId="0" applyFont="1" applyFill="1" applyBorder="1" applyAlignment="1">
      <alignment horizontal="left" vertical="top" wrapText="1"/>
    </xf>
    <xf numFmtId="0" fontId="6" fillId="10" borderId="16" xfId="0" applyFont="1" applyFill="1" applyBorder="1" applyAlignment="1">
      <alignment horizontal="left" vertical="top" wrapText="1"/>
    </xf>
    <xf numFmtId="166" fontId="6" fillId="8" borderId="19" xfId="0" applyNumberFormat="1" applyFont="1" applyFill="1" applyBorder="1" applyAlignment="1">
      <alignment horizontal="center" vertical="top" wrapText="1"/>
    </xf>
    <xf numFmtId="166" fontId="6" fillId="8" borderId="27" xfId="0" applyNumberFormat="1" applyFont="1" applyFill="1" applyBorder="1" applyAlignment="1">
      <alignment horizontal="center" vertical="top" wrapText="1"/>
    </xf>
    <xf numFmtId="166" fontId="6" fillId="8" borderId="17" xfId="0" applyNumberFormat="1" applyFont="1" applyFill="1" applyBorder="1" applyAlignment="1">
      <alignment horizontal="center" vertical="top" wrapText="1"/>
    </xf>
    <xf numFmtId="0" fontId="8" fillId="0" borderId="0" xfId="0" applyFont="1" applyAlignment="1">
      <alignment horizontal="center" wrapText="1"/>
    </xf>
    <xf numFmtId="0" fontId="8" fillId="0" borderId="2" xfId="0" applyFont="1" applyBorder="1" applyAlignment="1">
      <alignment horizontal="left" vertical="top" wrapText="1"/>
    </xf>
    <xf numFmtId="0" fontId="8" fillId="0" borderId="4" xfId="0" applyFont="1" applyBorder="1" applyAlignment="1">
      <alignment horizontal="left" vertical="top" wrapText="1"/>
    </xf>
    <xf numFmtId="0" fontId="8" fillId="0" borderId="16" xfId="0" applyFont="1" applyBorder="1" applyAlignment="1">
      <alignment horizontal="left" vertical="top" wrapText="1"/>
    </xf>
    <xf numFmtId="0" fontId="8" fillId="0" borderId="22" xfId="0" applyFont="1" applyBorder="1" applyAlignment="1">
      <alignment horizontal="center"/>
    </xf>
    <xf numFmtId="0" fontId="8" fillId="0" borderId="23" xfId="0" applyFont="1" applyBorder="1" applyAlignment="1">
      <alignment horizontal="center"/>
    </xf>
    <xf numFmtId="0" fontId="8" fillId="0" borderId="24" xfId="0" applyFont="1" applyBorder="1" applyAlignment="1">
      <alignment horizontal="center"/>
    </xf>
    <xf numFmtId="0" fontId="12" fillId="54" borderId="0" xfId="0" applyFont="1" applyFill="1" applyAlignment="1">
      <alignment horizontal="center" vertical="center" wrapText="1"/>
    </xf>
    <xf numFmtId="0" fontId="11" fillId="6" borderId="3" xfId="0" applyFont="1" applyFill="1" applyBorder="1" applyAlignment="1">
      <alignment horizontal="left" vertical="top" wrapText="1"/>
    </xf>
    <xf numFmtId="0" fontId="6" fillId="9" borderId="2" xfId="0" applyFont="1" applyFill="1" applyBorder="1" applyAlignment="1">
      <alignment horizontal="left" vertical="top" wrapText="1"/>
    </xf>
    <xf numFmtId="0" fontId="6" fillId="9" borderId="4" xfId="0" applyFont="1" applyFill="1" applyBorder="1" applyAlignment="1">
      <alignment horizontal="left" vertical="top" wrapText="1"/>
    </xf>
    <xf numFmtId="0" fontId="6" fillId="9" borderId="16" xfId="0" applyFont="1" applyFill="1" applyBorder="1" applyAlignment="1">
      <alignment horizontal="left" vertical="top" wrapText="1"/>
    </xf>
    <xf numFmtId="0" fontId="3" fillId="0" borderId="0" xfId="113" applyAlignment="1">
      <alignment horizontal="center"/>
    </xf>
  </cellXfs>
  <cellStyles count="116">
    <cellStyle name="20% - Accent1" xfId="3" xr:uid="{00000000-0005-0000-0000-000000000000}"/>
    <cellStyle name="20% - Accent2" xfId="4" xr:uid="{00000000-0005-0000-0000-000001000000}"/>
    <cellStyle name="20% - Accent3" xfId="5" xr:uid="{00000000-0005-0000-0000-000002000000}"/>
    <cellStyle name="20% - Accent4" xfId="6" xr:uid="{00000000-0005-0000-0000-000003000000}"/>
    <cellStyle name="20% - Accent5" xfId="7" xr:uid="{00000000-0005-0000-0000-000004000000}"/>
    <cellStyle name="20% - Accent6" xfId="8" xr:uid="{00000000-0005-0000-0000-000005000000}"/>
    <cellStyle name="40% - Accent1" xfId="9" xr:uid="{00000000-0005-0000-0000-000006000000}"/>
    <cellStyle name="40% - Accent2" xfId="10" xr:uid="{00000000-0005-0000-0000-000007000000}"/>
    <cellStyle name="40% - Accent3" xfId="11" xr:uid="{00000000-0005-0000-0000-000008000000}"/>
    <cellStyle name="40% - Accent4" xfId="12" xr:uid="{00000000-0005-0000-0000-000009000000}"/>
    <cellStyle name="40% - Accent5" xfId="13" xr:uid="{00000000-0005-0000-0000-00000A000000}"/>
    <cellStyle name="40% - Accent6" xfId="14" xr:uid="{00000000-0005-0000-0000-00000B000000}"/>
    <cellStyle name="60% - Accent1" xfId="15" xr:uid="{00000000-0005-0000-0000-00000C000000}"/>
    <cellStyle name="60% - Accent2" xfId="16" xr:uid="{00000000-0005-0000-0000-00000D000000}"/>
    <cellStyle name="60% - Accent3" xfId="17" xr:uid="{00000000-0005-0000-0000-00000E000000}"/>
    <cellStyle name="60% - Accent4" xfId="18" xr:uid="{00000000-0005-0000-0000-00000F000000}"/>
    <cellStyle name="60% - Accent5" xfId="19" xr:uid="{00000000-0005-0000-0000-000010000000}"/>
    <cellStyle name="60% - Accent6" xfId="20" xr:uid="{00000000-0005-0000-0000-000011000000}"/>
    <cellStyle name="Accent1" xfId="21" xr:uid="{00000000-0005-0000-0000-000012000000}"/>
    <cellStyle name="Accent1 - 20%" xfId="22" xr:uid="{00000000-0005-0000-0000-000013000000}"/>
    <cellStyle name="Accent1 - 40%" xfId="23" xr:uid="{00000000-0005-0000-0000-000014000000}"/>
    <cellStyle name="Accent1 - 60%" xfId="24" xr:uid="{00000000-0005-0000-0000-000015000000}"/>
    <cellStyle name="Accent2" xfId="25" xr:uid="{00000000-0005-0000-0000-000016000000}"/>
    <cellStyle name="Accent2 - 20%" xfId="26" xr:uid="{00000000-0005-0000-0000-000017000000}"/>
    <cellStyle name="Accent2 - 40%" xfId="27" xr:uid="{00000000-0005-0000-0000-000018000000}"/>
    <cellStyle name="Accent2 - 60%" xfId="28" xr:uid="{00000000-0005-0000-0000-000019000000}"/>
    <cellStyle name="Accent3" xfId="29" xr:uid="{00000000-0005-0000-0000-00001A000000}"/>
    <cellStyle name="Accent3 - 20%" xfId="30" xr:uid="{00000000-0005-0000-0000-00001B000000}"/>
    <cellStyle name="Accent3 - 40%" xfId="31" xr:uid="{00000000-0005-0000-0000-00001C000000}"/>
    <cellStyle name="Accent3 - 60%" xfId="32" xr:uid="{00000000-0005-0000-0000-00001D000000}"/>
    <cellStyle name="Accent4" xfId="33" xr:uid="{00000000-0005-0000-0000-00001E000000}"/>
    <cellStyle name="Accent4 - 20%" xfId="34" xr:uid="{00000000-0005-0000-0000-00001F000000}"/>
    <cellStyle name="Accent4 - 40%" xfId="35" xr:uid="{00000000-0005-0000-0000-000020000000}"/>
    <cellStyle name="Accent4 - 60%" xfId="36" xr:uid="{00000000-0005-0000-0000-000021000000}"/>
    <cellStyle name="Accent5" xfId="37" xr:uid="{00000000-0005-0000-0000-000022000000}"/>
    <cellStyle name="Accent5 - 20%" xfId="38" xr:uid="{00000000-0005-0000-0000-000023000000}"/>
    <cellStyle name="Accent5 - 40%" xfId="39" xr:uid="{00000000-0005-0000-0000-000024000000}"/>
    <cellStyle name="Accent5 - 60%" xfId="40" xr:uid="{00000000-0005-0000-0000-000025000000}"/>
    <cellStyle name="Accent6" xfId="41" xr:uid="{00000000-0005-0000-0000-000026000000}"/>
    <cellStyle name="Accent6 - 20%" xfId="42" xr:uid="{00000000-0005-0000-0000-000027000000}"/>
    <cellStyle name="Accent6 - 40%" xfId="43" xr:uid="{00000000-0005-0000-0000-000028000000}"/>
    <cellStyle name="Accent6 - 60%" xfId="44" xr:uid="{00000000-0005-0000-0000-000029000000}"/>
    <cellStyle name="Bad" xfId="45" xr:uid="{00000000-0005-0000-0000-00002A000000}"/>
    <cellStyle name="Calculation" xfId="46" xr:uid="{00000000-0005-0000-0000-00002B000000}"/>
    <cellStyle name="Check Cell" xfId="47" xr:uid="{00000000-0005-0000-0000-00002C000000}"/>
    <cellStyle name="Emphasis 1" xfId="48" xr:uid="{00000000-0005-0000-0000-00002D000000}"/>
    <cellStyle name="Emphasis 2" xfId="49" xr:uid="{00000000-0005-0000-0000-00002E000000}"/>
    <cellStyle name="Emphasis 3" xfId="50" xr:uid="{00000000-0005-0000-0000-00002F000000}"/>
    <cellStyle name="Euro" xfId="51" xr:uid="{00000000-0005-0000-0000-000030000000}"/>
    <cellStyle name="Explanatory Text" xfId="52" xr:uid="{00000000-0005-0000-0000-000031000000}"/>
    <cellStyle name="Good" xfId="53" xr:uid="{00000000-0005-0000-0000-000032000000}"/>
    <cellStyle name="Heading 1" xfId="54" xr:uid="{00000000-0005-0000-0000-000033000000}"/>
    <cellStyle name="Heading 2" xfId="55" xr:uid="{00000000-0005-0000-0000-000034000000}"/>
    <cellStyle name="Heading 3" xfId="56" xr:uid="{00000000-0005-0000-0000-000035000000}"/>
    <cellStyle name="Heading 4" xfId="57" xr:uid="{00000000-0005-0000-0000-000036000000}"/>
    <cellStyle name="Input" xfId="58" xr:uid="{00000000-0005-0000-0000-000037000000}"/>
    <cellStyle name="Komma" xfId="112" builtinId="3"/>
    <cellStyle name="Komma 2" xfId="59" xr:uid="{00000000-0005-0000-0000-000039000000}"/>
    <cellStyle name="Link" xfId="115" builtinId="8"/>
    <cellStyle name="Linked Cell" xfId="60" xr:uid="{00000000-0005-0000-0000-00003A000000}"/>
    <cellStyle name="Neutral 2" xfId="61" xr:uid="{00000000-0005-0000-0000-00003B000000}"/>
    <cellStyle name="Note" xfId="62" xr:uid="{00000000-0005-0000-0000-00003C000000}"/>
    <cellStyle name="Output" xfId="63" xr:uid="{00000000-0005-0000-0000-00003D000000}"/>
    <cellStyle name="Prozent 2" xfId="64" xr:uid="{00000000-0005-0000-0000-00003E000000}"/>
    <cellStyle name="Prozent 2 2" xfId="65" xr:uid="{00000000-0005-0000-0000-00003F000000}"/>
    <cellStyle name="Prozent 3" xfId="114" xr:uid="{70C3F234-9551-4A1E-8370-86596FE2CB52}"/>
    <cellStyle name="SAPBEXaggData" xfId="66" xr:uid="{00000000-0005-0000-0000-000040000000}"/>
    <cellStyle name="SAPBEXaggDataEmph" xfId="67" xr:uid="{00000000-0005-0000-0000-000041000000}"/>
    <cellStyle name="SAPBEXaggItem" xfId="68" xr:uid="{00000000-0005-0000-0000-000042000000}"/>
    <cellStyle name="SAPBEXaggItemX" xfId="69" xr:uid="{00000000-0005-0000-0000-000043000000}"/>
    <cellStyle name="SAPBEXchaText" xfId="70" xr:uid="{00000000-0005-0000-0000-000044000000}"/>
    <cellStyle name="SAPBEXexcBad7" xfId="71" xr:uid="{00000000-0005-0000-0000-000045000000}"/>
    <cellStyle name="SAPBEXexcBad8" xfId="72" xr:uid="{00000000-0005-0000-0000-000046000000}"/>
    <cellStyle name="SAPBEXexcBad9" xfId="73" xr:uid="{00000000-0005-0000-0000-000047000000}"/>
    <cellStyle name="SAPBEXexcCritical4" xfId="74" xr:uid="{00000000-0005-0000-0000-000048000000}"/>
    <cellStyle name="SAPBEXexcCritical5" xfId="75" xr:uid="{00000000-0005-0000-0000-000049000000}"/>
    <cellStyle name="SAPBEXexcCritical6" xfId="76" xr:uid="{00000000-0005-0000-0000-00004A000000}"/>
    <cellStyle name="SAPBEXexcGood1" xfId="77" xr:uid="{00000000-0005-0000-0000-00004B000000}"/>
    <cellStyle name="SAPBEXexcGood2" xfId="78" xr:uid="{00000000-0005-0000-0000-00004C000000}"/>
    <cellStyle name="SAPBEXexcGood3" xfId="79" xr:uid="{00000000-0005-0000-0000-00004D000000}"/>
    <cellStyle name="SAPBEXfilterDrill" xfId="80" xr:uid="{00000000-0005-0000-0000-00004E000000}"/>
    <cellStyle name="SAPBEXfilterItem" xfId="81" xr:uid="{00000000-0005-0000-0000-00004F000000}"/>
    <cellStyle name="SAPBEXfilterText" xfId="82" xr:uid="{00000000-0005-0000-0000-000050000000}"/>
    <cellStyle name="SAPBEXformats" xfId="83" xr:uid="{00000000-0005-0000-0000-000051000000}"/>
    <cellStyle name="SAPBEXheaderItem" xfId="84" xr:uid="{00000000-0005-0000-0000-000052000000}"/>
    <cellStyle name="SAPBEXheaderItem 2" xfId="85" xr:uid="{00000000-0005-0000-0000-000053000000}"/>
    <cellStyle name="SAPBEXheaderText" xfId="86" xr:uid="{00000000-0005-0000-0000-000054000000}"/>
    <cellStyle name="SAPBEXheaderText 2" xfId="87" xr:uid="{00000000-0005-0000-0000-000055000000}"/>
    <cellStyle name="SAPBEXHLevel0" xfId="88" xr:uid="{00000000-0005-0000-0000-000056000000}"/>
    <cellStyle name="SAPBEXHLevel0X" xfId="89" xr:uid="{00000000-0005-0000-0000-000057000000}"/>
    <cellStyle name="SAPBEXHLevel1" xfId="90" xr:uid="{00000000-0005-0000-0000-000058000000}"/>
    <cellStyle name="SAPBEXHLevel1X" xfId="91" xr:uid="{00000000-0005-0000-0000-000059000000}"/>
    <cellStyle name="SAPBEXHLevel2" xfId="92" xr:uid="{00000000-0005-0000-0000-00005A000000}"/>
    <cellStyle name="SAPBEXHLevel2X" xfId="93" xr:uid="{00000000-0005-0000-0000-00005B000000}"/>
    <cellStyle name="SAPBEXHLevel3" xfId="94" xr:uid="{00000000-0005-0000-0000-00005C000000}"/>
    <cellStyle name="SAPBEXHLevel3X" xfId="95" xr:uid="{00000000-0005-0000-0000-00005D000000}"/>
    <cellStyle name="SAPBEXinputData" xfId="96" xr:uid="{00000000-0005-0000-0000-00005E000000}"/>
    <cellStyle name="SAPBEXresData" xfId="97" xr:uid="{00000000-0005-0000-0000-00005F000000}"/>
    <cellStyle name="SAPBEXresDataEmph" xfId="98" xr:uid="{00000000-0005-0000-0000-000060000000}"/>
    <cellStyle name="SAPBEXresItem" xfId="99" xr:uid="{00000000-0005-0000-0000-000061000000}"/>
    <cellStyle name="SAPBEXresItemX" xfId="100" xr:uid="{00000000-0005-0000-0000-000062000000}"/>
    <cellStyle name="SAPBEXstdData" xfId="101" xr:uid="{00000000-0005-0000-0000-000063000000}"/>
    <cellStyle name="SAPBEXstdDataEmph" xfId="102" xr:uid="{00000000-0005-0000-0000-000064000000}"/>
    <cellStyle name="SAPBEXstdItem" xfId="103" xr:uid="{00000000-0005-0000-0000-000065000000}"/>
    <cellStyle name="SAPBEXstdItemX" xfId="104" xr:uid="{00000000-0005-0000-0000-000066000000}"/>
    <cellStyle name="SAPBEXtitle" xfId="105" xr:uid="{00000000-0005-0000-0000-000067000000}"/>
    <cellStyle name="SAPBEXundefined" xfId="106" xr:uid="{00000000-0005-0000-0000-000068000000}"/>
    <cellStyle name="Sheet Title" xfId="107" xr:uid="{00000000-0005-0000-0000-000069000000}"/>
    <cellStyle name="Standard" xfId="0" builtinId="0"/>
    <cellStyle name="Standard 2" xfId="1" xr:uid="{00000000-0005-0000-0000-00006B000000}"/>
    <cellStyle name="Standard 2 2" xfId="2" xr:uid="{00000000-0005-0000-0000-00006C000000}"/>
    <cellStyle name="Standard 2 3" xfId="108" xr:uid="{00000000-0005-0000-0000-00006D000000}"/>
    <cellStyle name="Standard 3" xfId="113" xr:uid="{05E58550-0ECF-47B6-BDC5-696675F84217}"/>
    <cellStyle name="Title" xfId="109" xr:uid="{00000000-0005-0000-0000-00006E000000}"/>
    <cellStyle name="Total" xfId="110" xr:uid="{00000000-0005-0000-0000-00006F000000}"/>
    <cellStyle name="Warning Text" xfId="111" xr:uid="{00000000-0005-0000-0000-000070000000}"/>
  </cellStyles>
  <dxfs count="18">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4E6F4"/>
      <rgbColor rgb="00FFFFFF"/>
      <rgbColor rgb="00FFFAD1"/>
      <rgbColor rgb="00179C7D"/>
      <rgbColor rgb="00FBCB8C"/>
      <rgbColor rgb="006DBFA9"/>
      <rgbColor rgb="006A7341"/>
      <rgbColor rgb="00D7E1C9"/>
      <rgbColor rgb="0029286A"/>
      <rgbColor rgb="00771C2C"/>
      <rgbColor rgb="00C7C1DE"/>
      <rgbColor rgb="009E1C22"/>
      <rgbColor rgb="00B1C800"/>
      <rgbColor rgb="00FEEAC9"/>
      <rgbColor rgb="004C636F"/>
      <rgbColor rgb="00EB6A0A"/>
      <rgbColor rgb="00006E92"/>
      <rgbColor rgb="00FFFFFF"/>
      <rgbColor rgb="00179C7D"/>
      <rgbColor rgb="00A8B1B1"/>
      <rgbColor rgb="00EB6A0A"/>
      <rgbColor rgb="0025BAE2"/>
      <rgbColor rgb="00006E92"/>
      <rgbColor rgb="00B1C800"/>
      <rgbColor rgb="00000000"/>
      <rgbColor rgb="00FFFFFF"/>
      <rgbColor rgb="00179C7D"/>
      <rgbColor rgb="00A8AFAF"/>
      <rgbColor rgb="00EB6A0A"/>
      <rgbColor rgb="0025BAE2"/>
      <rgbColor rgb="00006E92"/>
      <rgbColor rgb="00B1C800"/>
      <rgbColor rgb="00CBAF73"/>
      <rgbColor rgb="00000000"/>
      <rgbColor rgb="00A8AFAF"/>
      <rgbColor rgb="00006E92"/>
      <rgbColor rgb="00000000"/>
      <rgbColor rgb="0033B8CA"/>
      <rgbColor rgb="00000000"/>
      <rgbColor rgb="0025BAE2"/>
      <rgbColor rgb="00D1DD82"/>
      <rgbColor rgb="00EEEFB1"/>
      <rgbColor rgb="00FFDC00"/>
      <rgbColor rgb="00B4DCD3"/>
      <rgbColor rgb="00FFF381"/>
      <rgbColor rgb="00E2001A"/>
      <rgbColor rgb="00F29400"/>
      <rgbColor rgb="008FA402"/>
      <rgbColor rgb="0000346B"/>
      <rgbColor rgb="00FDC300"/>
      <rgbColor rgb="00005A94"/>
      <rgbColor rgb="001F82C0"/>
      <rgbColor rgb="0088BCE2"/>
      <rgbColor rgb="00462915"/>
      <rgbColor rgb="009085BA"/>
      <rgbColor rgb="0039378B"/>
    </indexedColors>
    <mruColors>
      <color rgb="FFC4F7EB"/>
      <color rgb="FF179C7D"/>
      <color rgb="FF8E0000"/>
      <color rgb="FF25BA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'Ergebnisse Basisszenario'!$K$2</c:f>
          <c:strCache>
            <c:ptCount val="1"/>
            <c:pt idx="0">
              <c:v>climate change - global warming potential (GWP100)</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solidFill>
              <a:ln>
                <a:noFill/>
              </a:ln>
              <a:effectLst/>
            </c:spPr>
            <c:extLst>
              <c:ext xmlns:c16="http://schemas.microsoft.com/office/drawing/2014/chart" uri="{C3380CC4-5D6E-409C-BE32-E72D297353CC}">
                <c16:uniqueId val="{00000001-0DB5-4840-827A-CB337EF8A41E}"/>
              </c:ext>
            </c:extLst>
          </c:dPt>
          <c:dPt>
            <c:idx val="1"/>
            <c:invertIfNegative val="0"/>
            <c:bubble3D val="0"/>
            <c:spPr>
              <a:solidFill>
                <a:schemeClr val="tx2"/>
              </a:solidFill>
              <a:ln>
                <a:noFill/>
              </a:ln>
              <a:effectLst/>
            </c:spPr>
            <c:extLst>
              <c:ext xmlns:c16="http://schemas.microsoft.com/office/drawing/2014/chart" uri="{C3380CC4-5D6E-409C-BE32-E72D297353CC}">
                <c16:uniqueId val="{00000003-0DB5-4840-827A-CB337EF8A41E}"/>
              </c:ext>
            </c:extLst>
          </c:dPt>
          <c:dPt>
            <c:idx val="4"/>
            <c:invertIfNegative val="0"/>
            <c:bubble3D val="0"/>
            <c:spPr>
              <a:solidFill>
                <a:schemeClr val="accent2"/>
              </a:solidFill>
              <a:ln>
                <a:noFill/>
              </a:ln>
              <a:effectLst/>
            </c:spPr>
            <c:extLst>
              <c:ext xmlns:c16="http://schemas.microsoft.com/office/drawing/2014/chart" uri="{C3380CC4-5D6E-409C-BE32-E72D297353CC}">
                <c16:uniqueId val="{00000005-0DB5-4840-827A-CB337EF8A41E}"/>
              </c:ext>
            </c:extLst>
          </c:dPt>
          <c:dPt>
            <c:idx val="5"/>
            <c:invertIfNegative val="0"/>
            <c:bubble3D val="0"/>
            <c:spPr>
              <a:solidFill>
                <a:schemeClr val="accent2"/>
              </a:solidFill>
              <a:ln>
                <a:noFill/>
              </a:ln>
              <a:effectLst/>
            </c:spPr>
            <c:extLst>
              <c:ext xmlns:c16="http://schemas.microsoft.com/office/drawing/2014/chart" uri="{C3380CC4-5D6E-409C-BE32-E72D297353CC}">
                <c16:uniqueId val="{00000007-0DB5-4840-827A-CB337EF8A41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'Ergebnisse Basisszenario'!$M$1:$R$2</c:f>
              <c:multiLvlStrCache>
                <c:ptCount val="6"/>
                <c:lvl>
                  <c:pt idx="0">
                    <c:v>Austausch</c:v>
                  </c:pt>
                  <c:pt idx="1">
                    <c:v>Reparatur</c:v>
                  </c:pt>
                  <c:pt idx="2">
                    <c:v>Austausch</c:v>
                  </c:pt>
                  <c:pt idx="3">
                    <c:v>Reparatur</c:v>
                  </c:pt>
                  <c:pt idx="4">
                    <c:v>Austausch</c:v>
                  </c:pt>
                  <c:pt idx="5">
                    <c:v>Reparatur</c:v>
                  </c:pt>
                </c:lvl>
                <c:lvl>
                  <c:pt idx="0">
                    <c:v>Autotür</c:v>
                  </c:pt>
                  <c:pt idx="2">
                    <c:v>Stoßfänger</c:v>
                  </c:pt>
                  <c:pt idx="4">
                    <c:v>Seitenteil</c:v>
                  </c:pt>
                </c:lvl>
              </c:multiLvlStrCache>
            </c:multiLvlStrRef>
          </c:cat>
          <c:val>
            <c:numRef>
              <c:f>'Ergebnisse Basisszenario'!$M$3:$R$3</c:f>
              <c:numCache>
                <c:formatCode>0.0</c:formatCode>
                <c:ptCount val="6"/>
                <c:pt idx="0">
                  <c:v>94.428134249607126</c:v>
                </c:pt>
                <c:pt idx="1">
                  <c:v>51.451796087851058</c:v>
                </c:pt>
                <c:pt idx="2">
                  <c:v>100.959898345727</c:v>
                </c:pt>
                <c:pt idx="3">
                  <c:v>60.622517652332903</c:v>
                </c:pt>
                <c:pt idx="4">
                  <c:v>218.4485935047714</c:v>
                </c:pt>
                <c:pt idx="5">
                  <c:v>86.750703793861035</c:v>
                </c:pt>
              </c:numCache>
            </c:numRef>
          </c:val>
          <c:extLst>
            <c:ext xmlns:c16="http://schemas.microsoft.com/office/drawing/2014/chart" uri="{C3380CC4-5D6E-409C-BE32-E72D297353CC}">
              <c16:uniqueId val="{00000008-0DB5-4840-827A-CB337EF8A41E}"/>
            </c:ext>
          </c:extLst>
        </c:ser>
        <c:dLbls>
          <c:showLegendKey val="0"/>
          <c:showVal val="0"/>
          <c:showCatName val="0"/>
          <c:showSerName val="0"/>
          <c:showPercent val="0"/>
          <c:showBubbleSize val="0"/>
        </c:dLbls>
        <c:gapWidth val="219"/>
        <c:overlap val="-27"/>
        <c:axId val="1367879631"/>
        <c:axId val="1367880047"/>
      </c:barChart>
      <c:catAx>
        <c:axId val="1367879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7880047"/>
        <c:crosses val="autoZero"/>
        <c:auto val="1"/>
        <c:lblAlgn val="ctr"/>
        <c:lblOffset val="100"/>
        <c:noMultiLvlLbl val="0"/>
      </c:catAx>
      <c:valAx>
        <c:axId val="1367880047"/>
        <c:scaling>
          <c:orientation val="minMax"/>
        </c:scaling>
        <c:delete val="0"/>
        <c:axPos val="l"/>
        <c:majorGridlines>
          <c:spPr>
            <a:ln w="9525" cap="flat" cmpd="sng" algn="ctr">
              <a:solidFill>
                <a:schemeClr val="tx1">
                  <a:lumMod val="15000"/>
                  <a:lumOff val="85000"/>
                </a:schemeClr>
              </a:solidFill>
              <a:round/>
            </a:ln>
            <a:effectLst/>
          </c:spPr>
        </c:majorGridlines>
        <c:title>
          <c:tx>
            <c:strRef>
              <c:f>'Ergebnisse Basisszenario'!$S$3</c:f>
              <c:strCache>
                <c:ptCount val="1"/>
                <c:pt idx="0">
                  <c:v>kg CO2-Eq</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78796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'Ergebnisse Ideales Szenario'!$A$27</c:f>
              <c:strCache>
                <c:ptCount val="1"/>
                <c:pt idx="0">
                  <c:v>Basis</c:v>
                </c:pt>
              </c:strCache>
            </c:strRef>
          </c:tx>
          <c:spPr>
            <a:solidFill>
              <a:schemeClr val="accent3"/>
            </a:solidFill>
            <a:ln>
              <a:noFill/>
            </a:ln>
            <a:effectLst/>
          </c:spPr>
          <c:invertIfNegative val="0"/>
          <c:cat>
            <c:multiLvlStrRef>
              <c:f>'Ergebnisse Ideales Szenario'!$B$24:$G$25</c:f>
              <c:multiLvlStrCache>
                <c:ptCount val="6"/>
                <c:lvl>
                  <c:pt idx="0">
                    <c:v>Austausch</c:v>
                  </c:pt>
                  <c:pt idx="1">
                    <c:v>Reparatur</c:v>
                  </c:pt>
                  <c:pt idx="2">
                    <c:v>Austausch</c:v>
                  </c:pt>
                  <c:pt idx="3">
                    <c:v>Reparatur</c:v>
                  </c:pt>
                  <c:pt idx="4">
                    <c:v>Austausch</c:v>
                  </c:pt>
                  <c:pt idx="5">
                    <c:v>Reparatur</c:v>
                  </c:pt>
                </c:lvl>
                <c:lvl>
                  <c:pt idx="0">
                    <c:v>Autotür</c:v>
                  </c:pt>
                  <c:pt idx="2">
                    <c:v>Stoßfänger</c:v>
                  </c:pt>
                  <c:pt idx="4">
                    <c:v>Seitenteil</c:v>
                  </c:pt>
                </c:lvl>
              </c:multiLvlStrCache>
            </c:multiLvlStrRef>
          </c:cat>
          <c:val>
            <c:numRef>
              <c:f>'Ergebnisse Ideales Szenario'!$B$27:$G$27</c:f>
              <c:numCache>
                <c:formatCode>0.0</c:formatCode>
                <c:ptCount val="6"/>
                <c:pt idx="0">
                  <c:v>94.428134249607126</c:v>
                </c:pt>
                <c:pt idx="1">
                  <c:v>51.451796087851058</c:v>
                </c:pt>
                <c:pt idx="2">
                  <c:v>100.959898345727</c:v>
                </c:pt>
                <c:pt idx="3">
                  <c:v>60.622517652332903</c:v>
                </c:pt>
                <c:pt idx="4">
                  <c:v>218.4485935047714</c:v>
                </c:pt>
                <c:pt idx="5">
                  <c:v>86.750703793861035</c:v>
                </c:pt>
              </c:numCache>
            </c:numRef>
          </c:val>
          <c:extLst>
            <c:ext xmlns:c16="http://schemas.microsoft.com/office/drawing/2014/chart" uri="{C3380CC4-5D6E-409C-BE32-E72D297353CC}">
              <c16:uniqueId val="{00000000-F446-473F-89D4-91E927EF1AD2}"/>
            </c:ext>
          </c:extLst>
        </c:ser>
        <c:dLbls>
          <c:showLegendKey val="0"/>
          <c:showVal val="0"/>
          <c:showCatName val="0"/>
          <c:showSerName val="0"/>
          <c:showPercent val="0"/>
          <c:showBubbleSize val="0"/>
        </c:dLbls>
        <c:gapWidth val="150"/>
        <c:overlap val="100"/>
        <c:axId val="1787877968"/>
        <c:axId val="1787874224"/>
      </c:barChart>
      <c:barChart>
        <c:barDir val="col"/>
        <c:grouping val="stacked"/>
        <c:varyColors val="0"/>
        <c:ser>
          <c:idx val="1"/>
          <c:order val="1"/>
          <c:tx>
            <c:strRef>
              <c:f>'Ergebnisse Ideales Szenario'!$A$31</c:f>
              <c:strCache>
                <c:ptCount val="1"/>
                <c:pt idx="0">
                  <c:v>Transparent</c:v>
                </c:pt>
              </c:strCache>
            </c:strRef>
          </c:tx>
          <c:spPr>
            <a:solidFill>
              <a:schemeClr val="accent3"/>
            </a:solidFill>
            <a:ln>
              <a:noFill/>
            </a:ln>
            <a:effectLst/>
          </c:spPr>
          <c:invertIfNegative val="0"/>
          <c:dLbls>
            <c:dLbl>
              <c:idx val="0"/>
              <c:tx>
                <c:rich>
                  <a:bodyPr/>
                  <a:lstStyle/>
                  <a:p>
                    <a:fld id="{CE9A986A-226D-482F-ADEC-4158A16958EF}"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446-473F-89D4-91E927EF1AD2}"/>
                </c:ext>
              </c:extLst>
            </c:dLbl>
            <c:dLbl>
              <c:idx val="1"/>
              <c:tx>
                <c:rich>
                  <a:bodyPr/>
                  <a:lstStyle/>
                  <a:p>
                    <a:fld id="{3FD9E42D-F247-4157-8D93-D20ACA5567C2}"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446-473F-89D4-91E927EF1AD2}"/>
                </c:ext>
              </c:extLst>
            </c:dLbl>
            <c:dLbl>
              <c:idx val="2"/>
              <c:tx>
                <c:rich>
                  <a:bodyPr/>
                  <a:lstStyle/>
                  <a:p>
                    <a:fld id="{7AE828A2-4B2F-4236-B562-A7F62AB24CAF}"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446-473F-89D4-91E927EF1AD2}"/>
                </c:ext>
              </c:extLst>
            </c:dLbl>
            <c:dLbl>
              <c:idx val="3"/>
              <c:tx>
                <c:rich>
                  <a:bodyPr/>
                  <a:lstStyle/>
                  <a:p>
                    <a:fld id="{ECB4DD58-E15C-4A5B-BAE2-C51180B197D8}"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446-473F-89D4-91E927EF1AD2}"/>
                </c:ext>
              </c:extLst>
            </c:dLbl>
            <c:dLbl>
              <c:idx val="4"/>
              <c:tx>
                <c:rich>
                  <a:bodyPr/>
                  <a:lstStyle/>
                  <a:p>
                    <a:fld id="{0C213599-340E-4128-A315-68F817C9591D}"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446-473F-89D4-91E927EF1AD2}"/>
                </c:ext>
              </c:extLst>
            </c:dLbl>
            <c:dLbl>
              <c:idx val="5"/>
              <c:tx>
                <c:rich>
                  <a:bodyPr/>
                  <a:lstStyle/>
                  <a:p>
                    <a:fld id="{69C13754-EDA5-4EA9-B868-33016C4C75CE}"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446-473F-89D4-91E927EF1AD2}"/>
                </c:ext>
              </c:extLst>
            </c:dLbl>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Lit>
              <c:ptCount val="6"/>
              <c:pt idx="0">
                <c:v>Seitenteil Austausch</c:v>
              </c:pt>
              <c:pt idx="1">
                <c:v>Seitenteil Reparatur</c:v>
              </c:pt>
              <c:pt idx="2">
                <c:v>Stoßfänger Austausch</c:v>
              </c:pt>
              <c:pt idx="3">
                <c:v>Stoßfänger Reparatur</c:v>
              </c:pt>
              <c:pt idx="4">
                <c:v>Tür Austausch</c:v>
              </c:pt>
              <c:pt idx="5">
                <c:v>Tür Reparatur</c:v>
              </c:pt>
            </c:strLit>
          </c:cat>
          <c:val>
            <c:numRef>
              <c:f>'Ergebnisse Ideales Szenario'!$B$31:$G$31</c:f>
              <c:numCache>
                <c:formatCode>General</c:formatCode>
                <c:ptCount val="6"/>
                <c:pt idx="0">
                  <c:v>46.297347844305662</c:v>
                </c:pt>
                <c:pt idx="1">
                  <c:v>43.151367758651453</c:v>
                </c:pt>
                <c:pt idx="2">
                  <c:v>48.834937529330112</c:v>
                </c:pt>
                <c:pt idx="3">
                  <c:v>51.401237404902261</c:v>
                </c:pt>
                <c:pt idx="4">
                  <c:v>177.0719375122691</c:v>
                </c:pt>
                <c:pt idx="5">
                  <c:v>72.11064481920333</c:v>
                </c:pt>
              </c:numCache>
            </c:numRef>
          </c:val>
          <c:extLst>
            <c:ext xmlns:c15="http://schemas.microsoft.com/office/drawing/2012/chart" uri="{02D57815-91ED-43cb-92C2-25804820EDAC}">
              <c15:datalabelsRange>
                <c15:f>'Ergebnisse Ideales Szenario'!$B$26:$G$26</c15:f>
                <c15:dlblRangeCache>
                  <c:ptCount val="6"/>
                  <c:pt idx="0">
                    <c:v>46,3</c:v>
                  </c:pt>
                  <c:pt idx="1">
                    <c:v>43,2</c:v>
                  </c:pt>
                  <c:pt idx="2">
                    <c:v>48,8</c:v>
                  </c:pt>
                  <c:pt idx="3">
                    <c:v>51,4</c:v>
                  </c:pt>
                  <c:pt idx="4">
                    <c:v>177,1</c:v>
                  </c:pt>
                  <c:pt idx="5">
                    <c:v>72,1</c:v>
                  </c:pt>
                </c15:dlblRangeCache>
              </c15:datalabelsRange>
            </c:ext>
            <c:ext xmlns:c16="http://schemas.microsoft.com/office/drawing/2014/chart" uri="{C3380CC4-5D6E-409C-BE32-E72D297353CC}">
              <c16:uniqueId val="{00000007-F446-473F-89D4-91E927EF1AD2}"/>
            </c:ext>
          </c:extLst>
        </c:ser>
        <c:ser>
          <c:idx val="2"/>
          <c:order val="2"/>
          <c:tx>
            <c:strRef>
              <c:f>'Ergebnisse Ideales Szenario'!$A$29</c:f>
              <c:strCache>
                <c:ptCount val="1"/>
                <c:pt idx="0">
                  <c:v>Abweichung pos</c:v>
                </c:pt>
              </c:strCache>
            </c:strRef>
          </c:tx>
          <c:spPr>
            <a:solidFill>
              <a:srgbClr val="FF0000"/>
            </a:solidFill>
            <a:ln>
              <a:noFill/>
            </a:ln>
            <a:effectLst/>
          </c:spPr>
          <c:invertIfNegative val="0"/>
          <c:cat>
            <c:strLit>
              <c:ptCount val="6"/>
              <c:pt idx="0">
                <c:v>Seitenteil Austausch</c:v>
              </c:pt>
              <c:pt idx="1">
                <c:v>Seitenteil Reparatur</c:v>
              </c:pt>
              <c:pt idx="2">
                <c:v>Stoßfänger Austausch</c:v>
              </c:pt>
              <c:pt idx="3">
                <c:v>Stoßfänger Reparatur</c:v>
              </c:pt>
              <c:pt idx="4">
                <c:v>Tür Austausch</c:v>
              </c:pt>
              <c:pt idx="5">
                <c:v>Tür Reparatur</c:v>
              </c:pt>
            </c:strLit>
          </c:cat>
          <c:val>
            <c:numRef>
              <c:f>'Ergebnisse Ideales Szenario'!$B$29:$G$29</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F446-473F-89D4-91E927EF1AD2}"/>
            </c:ext>
          </c:extLst>
        </c:ser>
        <c:ser>
          <c:idx val="3"/>
          <c:order val="3"/>
          <c:tx>
            <c:strRef>
              <c:f>'Ergebnisse Ideales Szenario'!$A$30</c:f>
              <c:strCache>
                <c:ptCount val="1"/>
                <c:pt idx="0">
                  <c:v>Abweichung neg</c:v>
                </c:pt>
              </c:strCache>
            </c:strRef>
          </c:tx>
          <c:spPr>
            <a:solidFill>
              <a:schemeClr val="accent1"/>
            </a:solidFill>
            <a:ln>
              <a:noFill/>
            </a:ln>
            <a:effectLst/>
          </c:spPr>
          <c:invertIfNegative val="0"/>
          <c:cat>
            <c:strLit>
              <c:ptCount val="6"/>
              <c:pt idx="0">
                <c:v>Seitenteil Austausch</c:v>
              </c:pt>
              <c:pt idx="1">
                <c:v>Seitenteil Reparatur</c:v>
              </c:pt>
              <c:pt idx="2">
                <c:v>Stoßfänger Austausch</c:v>
              </c:pt>
              <c:pt idx="3">
                <c:v>Stoßfänger Reparatur</c:v>
              </c:pt>
              <c:pt idx="4">
                <c:v>Tür Austausch</c:v>
              </c:pt>
              <c:pt idx="5">
                <c:v>Tür Reparatur</c:v>
              </c:pt>
            </c:strLit>
          </c:cat>
          <c:val>
            <c:numRef>
              <c:f>'Ergebnisse Ideales Szenario'!$B$30:$G$30</c:f>
              <c:numCache>
                <c:formatCode>General</c:formatCode>
                <c:ptCount val="6"/>
                <c:pt idx="0">
                  <c:v>48.130786405301464</c:v>
                </c:pt>
                <c:pt idx="1">
                  <c:v>8.3004283291996046</c:v>
                </c:pt>
                <c:pt idx="2">
                  <c:v>52.124960816396886</c:v>
                </c:pt>
                <c:pt idx="3">
                  <c:v>9.2212802474306415</c:v>
                </c:pt>
                <c:pt idx="4">
                  <c:v>41.376655992502293</c:v>
                </c:pt>
                <c:pt idx="5">
                  <c:v>14.640058974657705</c:v>
                </c:pt>
              </c:numCache>
            </c:numRef>
          </c:val>
          <c:extLst>
            <c:ext xmlns:c16="http://schemas.microsoft.com/office/drawing/2014/chart" uri="{C3380CC4-5D6E-409C-BE32-E72D297353CC}">
              <c16:uniqueId val="{00000009-F446-473F-89D4-91E927EF1AD2}"/>
            </c:ext>
          </c:extLst>
        </c:ser>
        <c:dLbls>
          <c:showLegendKey val="0"/>
          <c:showVal val="0"/>
          <c:showCatName val="0"/>
          <c:showSerName val="0"/>
          <c:showPercent val="0"/>
          <c:showBubbleSize val="0"/>
        </c:dLbls>
        <c:gapWidth val="250"/>
        <c:overlap val="100"/>
        <c:axId val="2132302976"/>
        <c:axId val="2132313792"/>
      </c:barChart>
      <c:lineChart>
        <c:grouping val="standard"/>
        <c:varyColors val="0"/>
        <c:ser>
          <c:idx val="4"/>
          <c:order val="4"/>
          <c:tx>
            <c:strRef>
              <c:f>'Ergebnisse Ideales Szenario'!$A$33</c:f>
              <c:strCache>
                <c:ptCount val="1"/>
                <c:pt idx="0">
                  <c:v>Position Datenbeschriftung</c:v>
                </c:pt>
              </c:strCache>
            </c:strRef>
          </c:tx>
          <c:spPr>
            <a:ln w="25400" cap="rnd">
              <a:noFill/>
              <a:round/>
            </a:ln>
            <a:effectLst/>
          </c:spPr>
          <c:marker>
            <c:symbol val="none"/>
          </c:marker>
          <c:dLbls>
            <c:dLbl>
              <c:idx val="0"/>
              <c:tx>
                <c:rich>
                  <a:bodyPr/>
                  <a:lstStyle/>
                  <a:p>
                    <a:fld id="{0A0B8C4D-F89D-40A1-9B71-5F6F664DB249}"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446-473F-89D4-91E927EF1AD2}"/>
                </c:ext>
              </c:extLst>
            </c:dLbl>
            <c:dLbl>
              <c:idx val="1"/>
              <c:tx>
                <c:rich>
                  <a:bodyPr/>
                  <a:lstStyle/>
                  <a:p>
                    <a:fld id="{5F199671-3FE5-4A9D-AC5A-BB1F4C69ED7C}"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446-473F-89D4-91E927EF1AD2}"/>
                </c:ext>
              </c:extLst>
            </c:dLbl>
            <c:dLbl>
              <c:idx val="2"/>
              <c:tx>
                <c:rich>
                  <a:bodyPr/>
                  <a:lstStyle/>
                  <a:p>
                    <a:fld id="{9333BB34-F7B0-43CB-B481-8F2F7D1A06FF}"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446-473F-89D4-91E927EF1AD2}"/>
                </c:ext>
              </c:extLst>
            </c:dLbl>
            <c:dLbl>
              <c:idx val="3"/>
              <c:tx>
                <c:rich>
                  <a:bodyPr/>
                  <a:lstStyle/>
                  <a:p>
                    <a:fld id="{AD75FDAA-568F-49C5-A0B2-BF417B60CFC7}"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446-473F-89D4-91E927EF1AD2}"/>
                </c:ext>
              </c:extLst>
            </c:dLbl>
            <c:dLbl>
              <c:idx val="4"/>
              <c:tx>
                <c:rich>
                  <a:bodyPr/>
                  <a:lstStyle/>
                  <a:p>
                    <a:fld id="{DCBD9616-310A-4E62-80A9-96DBDF4856F2}"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446-473F-89D4-91E927EF1AD2}"/>
                </c:ext>
              </c:extLst>
            </c:dLbl>
            <c:dLbl>
              <c:idx val="5"/>
              <c:tx>
                <c:rich>
                  <a:bodyPr/>
                  <a:lstStyle/>
                  <a:p>
                    <a:fld id="{A0712F2B-459E-4A6D-8AA7-E1F8D8DDB09D}"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446-473F-89D4-91E927EF1AD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'Ergebnisse Ideales Szenario'!$B$24:$G$25</c:f>
              <c:multiLvlStrCache>
                <c:ptCount val="6"/>
                <c:lvl>
                  <c:pt idx="0">
                    <c:v>Austausch</c:v>
                  </c:pt>
                  <c:pt idx="1">
                    <c:v>Reparatur</c:v>
                  </c:pt>
                  <c:pt idx="2">
                    <c:v>Austausch</c:v>
                  </c:pt>
                  <c:pt idx="3">
                    <c:v>Reparatur</c:v>
                  </c:pt>
                  <c:pt idx="4">
                    <c:v>Austausch</c:v>
                  </c:pt>
                  <c:pt idx="5">
                    <c:v>Reparatur</c:v>
                  </c:pt>
                </c:lvl>
                <c:lvl>
                  <c:pt idx="0">
                    <c:v>Autotür</c:v>
                  </c:pt>
                  <c:pt idx="2">
                    <c:v>Stoßfänger</c:v>
                  </c:pt>
                  <c:pt idx="4">
                    <c:v>Seitenteil</c:v>
                  </c:pt>
                </c:lvl>
              </c:multiLvlStrCache>
            </c:multiLvlStrRef>
          </c:cat>
          <c:val>
            <c:numRef>
              <c:f>'Ergebnisse Ideales Szenario'!$B$33:$G$33</c:f>
              <c:numCache>
                <c:formatCode>0.0</c:formatCode>
                <c:ptCount val="6"/>
                <c:pt idx="0">
                  <c:v>99.149540962087485</c:v>
                </c:pt>
                <c:pt idx="1">
                  <c:v>54.024385892243615</c:v>
                </c:pt>
                <c:pt idx="2">
                  <c:v>106.00789326301334</c:v>
                </c:pt>
                <c:pt idx="3">
                  <c:v>63.653643534949545</c:v>
                </c:pt>
                <c:pt idx="4">
                  <c:v>229.37102318000996</c:v>
                </c:pt>
                <c:pt idx="5">
                  <c:v>91.088238983554092</c:v>
                </c:pt>
              </c:numCache>
            </c:numRef>
          </c:val>
          <c:smooth val="0"/>
          <c:extLst>
            <c:ext xmlns:c15="http://schemas.microsoft.com/office/drawing/2012/chart" uri="{02D57815-91ED-43cb-92C2-25804820EDAC}">
              <c15:datalabelsRange>
                <c15:f>'Ergebnisse Ideales Szenario'!$B$32:$G$32</c15:f>
                <c15:dlblRangeCache>
                  <c:ptCount val="6"/>
                  <c:pt idx="0">
                    <c:v>-51,0%</c:v>
                  </c:pt>
                  <c:pt idx="1">
                    <c:v>-16,1%</c:v>
                  </c:pt>
                  <c:pt idx="2">
                    <c:v>-51,6%</c:v>
                  </c:pt>
                  <c:pt idx="3">
                    <c:v>-15,2%</c:v>
                  </c:pt>
                  <c:pt idx="4">
                    <c:v>-18,9%</c:v>
                  </c:pt>
                  <c:pt idx="5">
                    <c:v>-16,9%</c:v>
                  </c:pt>
                </c15:dlblRangeCache>
              </c15:datalabelsRange>
            </c:ext>
            <c:ext xmlns:c16="http://schemas.microsoft.com/office/drawing/2014/chart" uri="{C3380CC4-5D6E-409C-BE32-E72D297353CC}">
              <c16:uniqueId val="{00000010-F446-473F-89D4-91E927EF1AD2}"/>
            </c:ext>
          </c:extLst>
        </c:ser>
        <c:dLbls>
          <c:showLegendKey val="0"/>
          <c:showVal val="0"/>
          <c:showCatName val="0"/>
          <c:showSerName val="0"/>
          <c:showPercent val="0"/>
          <c:showBubbleSize val="0"/>
        </c:dLbls>
        <c:marker val="1"/>
        <c:smooth val="0"/>
        <c:axId val="2132302976"/>
        <c:axId val="2132313792"/>
      </c:lineChart>
      <c:catAx>
        <c:axId val="178787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7874224"/>
        <c:crosses val="autoZero"/>
        <c:auto val="1"/>
        <c:lblAlgn val="ctr"/>
        <c:lblOffset val="100"/>
        <c:noMultiLvlLbl val="0"/>
      </c:catAx>
      <c:valAx>
        <c:axId val="1787874224"/>
        <c:scaling>
          <c:orientation val="minMax"/>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de-DE" sz="1800" b="0" i="0" baseline="0">
                    <a:effectLst/>
                  </a:rPr>
                  <a:t>kgCO</a:t>
                </a:r>
                <a:r>
                  <a:rPr lang="de-DE" sz="1800" b="0" i="0" baseline="-25000">
                    <a:effectLst/>
                  </a:rPr>
                  <a:t>2</a:t>
                </a:r>
                <a:r>
                  <a:rPr lang="de-DE" sz="1800" b="0" i="0" baseline="0">
                    <a:effectLst/>
                  </a:rPr>
                  <a:t>Äq./instangesetzter Schaden</a:t>
                </a:r>
                <a:endParaRPr lang="de-DE">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7877968"/>
        <c:crosses val="autoZero"/>
        <c:crossBetween val="between"/>
      </c:valAx>
      <c:valAx>
        <c:axId val="2132313792"/>
        <c:scaling>
          <c:orientation val="minMax"/>
        </c:scaling>
        <c:delete val="1"/>
        <c:axPos val="r"/>
        <c:numFmt formatCode="General" sourceLinked="1"/>
        <c:majorTickMark val="out"/>
        <c:minorTickMark val="none"/>
        <c:tickLblPos val="nextTo"/>
        <c:crossAx val="2132302976"/>
        <c:crosses val="max"/>
        <c:crossBetween val="between"/>
      </c:valAx>
      <c:catAx>
        <c:axId val="2132302976"/>
        <c:scaling>
          <c:orientation val="minMax"/>
        </c:scaling>
        <c:delete val="1"/>
        <c:axPos val="b"/>
        <c:numFmt formatCode="General" sourceLinked="1"/>
        <c:majorTickMark val="out"/>
        <c:minorTickMark val="none"/>
        <c:tickLblPos val="nextTo"/>
        <c:crossAx val="2132313792"/>
        <c:crosses val="autoZero"/>
        <c:auto val="1"/>
        <c:lblAlgn val="ctr"/>
        <c:lblOffset val="100"/>
        <c:noMultiLvlLbl val="0"/>
      </c:catAx>
      <c:spPr>
        <a:noFill/>
        <a:ln>
          <a:solidFill>
            <a:schemeClr val="bg1">
              <a:lumMod val="7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'Ergebnisse PV Anlage'!$A$27</c:f>
              <c:strCache>
                <c:ptCount val="1"/>
                <c:pt idx="0">
                  <c:v>Basis</c:v>
                </c:pt>
              </c:strCache>
            </c:strRef>
          </c:tx>
          <c:spPr>
            <a:solidFill>
              <a:schemeClr val="accent3"/>
            </a:solidFill>
            <a:ln>
              <a:noFill/>
            </a:ln>
            <a:effectLst/>
          </c:spPr>
          <c:invertIfNegative val="0"/>
          <c:cat>
            <c:multiLvlStrRef>
              <c:f>'Ergebnisse PV Anlage'!$B$24:$G$25</c:f>
              <c:multiLvlStrCache>
                <c:ptCount val="6"/>
                <c:lvl>
                  <c:pt idx="0">
                    <c:v>Austausch</c:v>
                  </c:pt>
                  <c:pt idx="1">
                    <c:v>Reparatur</c:v>
                  </c:pt>
                  <c:pt idx="2">
                    <c:v>Austausch</c:v>
                  </c:pt>
                  <c:pt idx="3">
                    <c:v>Reparatur</c:v>
                  </c:pt>
                  <c:pt idx="4">
                    <c:v>Austausch</c:v>
                  </c:pt>
                  <c:pt idx="5">
                    <c:v>Reparatur</c:v>
                  </c:pt>
                </c:lvl>
                <c:lvl>
                  <c:pt idx="0">
                    <c:v>Autotür</c:v>
                  </c:pt>
                  <c:pt idx="2">
                    <c:v>Stoßfänger</c:v>
                  </c:pt>
                  <c:pt idx="4">
                    <c:v>Seitenteil</c:v>
                  </c:pt>
                </c:lvl>
              </c:multiLvlStrCache>
            </c:multiLvlStrRef>
          </c:cat>
          <c:val>
            <c:numRef>
              <c:f>'Ergebnisse PV Anlage'!$B$27:$G$27</c:f>
              <c:numCache>
                <c:formatCode>0.0</c:formatCode>
                <c:ptCount val="6"/>
                <c:pt idx="0">
                  <c:v>94.428134249607126</c:v>
                </c:pt>
                <c:pt idx="1">
                  <c:v>51.451796087851058</c:v>
                </c:pt>
                <c:pt idx="2">
                  <c:v>100.959898345727</c:v>
                </c:pt>
                <c:pt idx="3">
                  <c:v>60.622517652332903</c:v>
                </c:pt>
                <c:pt idx="4">
                  <c:v>218.4485935047714</c:v>
                </c:pt>
                <c:pt idx="5">
                  <c:v>86.750703793861035</c:v>
                </c:pt>
              </c:numCache>
            </c:numRef>
          </c:val>
          <c:extLst>
            <c:ext xmlns:c16="http://schemas.microsoft.com/office/drawing/2014/chart" uri="{C3380CC4-5D6E-409C-BE32-E72D297353CC}">
              <c16:uniqueId val="{00000000-A4F0-48B4-A31B-3E2412AB4C01}"/>
            </c:ext>
          </c:extLst>
        </c:ser>
        <c:dLbls>
          <c:showLegendKey val="0"/>
          <c:showVal val="0"/>
          <c:showCatName val="0"/>
          <c:showSerName val="0"/>
          <c:showPercent val="0"/>
          <c:showBubbleSize val="0"/>
        </c:dLbls>
        <c:gapWidth val="150"/>
        <c:overlap val="100"/>
        <c:axId val="1787877968"/>
        <c:axId val="1787874224"/>
      </c:barChart>
      <c:barChart>
        <c:barDir val="col"/>
        <c:grouping val="stacked"/>
        <c:varyColors val="0"/>
        <c:ser>
          <c:idx val="1"/>
          <c:order val="1"/>
          <c:tx>
            <c:strRef>
              <c:f>'Ergebnisse PV Anlage'!$A$31</c:f>
              <c:strCache>
                <c:ptCount val="1"/>
                <c:pt idx="0">
                  <c:v>Transparent</c:v>
                </c:pt>
              </c:strCache>
            </c:strRef>
          </c:tx>
          <c:spPr>
            <a:solidFill>
              <a:schemeClr val="accent3"/>
            </a:solidFill>
            <a:ln>
              <a:noFill/>
            </a:ln>
            <a:effectLst/>
          </c:spPr>
          <c:invertIfNegative val="0"/>
          <c:dLbls>
            <c:dLbl>
              <c:idx val="0"/>
              <c:tx>
                <c:rich>
                  <a:bodyPr/>
                  <a:lstStyle/>
                  <a:p>
                    <a:fld id="{1F184268-28AB-4E05-BB0A-4F0DF1B04D0D}"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4F0-48B4-A31B-3E2412AB4C01}"/>
                </c:ext>
              </c:extLst>
            </c:dLbl>
            <c:dLbl>
              <c:idx val="1"/>
              <c:tx>
                <c:rich>
                  <a:bodyPr/>
                  <a:lstStyle/>
                  <a:p>
                    <a:fld id="{BA1BAE81-1ADB-4BB0-B59A-994BB703728A}"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4F0-48B4-A31B-3E2412AB4C01}"/>
                </c:ext>
              </c:extLst>
            </c:dLbl>
            <c:dLbl>
              <c:idx val="2"/>
              <c:tx>
                <c:rich>
                  <a:bodyPr/>
                  <a:lstStyle/>
                  <a:p>
                    <a:fld id="{DF739B47-6B72-424A-BF0E-E37B54DD5A3C}"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4F0-48B4-A31B-3E2412AB4C01}"/>
                </c:ext>
              </c:extLst>
            </c:dLbl>
            <c:dLbl>
              <c:idx val="3"/>
              <c:tx>
                <c:rich>
                  <a:bodyPr/>
                  <a:lstStyle/>
                  <a:p>
                    <a:fld id="{C2DE3AE8-A4D9-4580-8213-29F633B17E19}"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4F0-48B4-A31B-3E2412AB4C01}"/>
                </c:ext>
              </c:extLst>
            </c:dLbl>
            <c:dLbl>
              <c:idx val="4"/>
              <c:tx>
                <c:rich>
                  <a:bodyPr/>
                  <a:lstStyle/>
                  <a:p>
                    <a:fld id="{44D792DC-0D2D-479F-ACF0-C4C9CD99F3C9}"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4F0-48B4-A31B-3E2412AB4C01}"/>
                </c:ext>
              </c:extLst>
            </c:dLbl>
            <c:dLbl>
              <c:idx val="5"/>
              <c:tx>
                <c:rich>
                  <a:bodyPr/>
                  <a:lstStyle/>
                  <a:p>
                    <a:fld id="{E3B79356-2B12-4C3C-9BBC-83DA827A2518}"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4F0-48B4-A31B-3E2412AB4C01}"/>
                </c:ext>
              </c:extLst>
            </c:dLbl>
            <c:numFmt formatCode="#,##0.00" sourceLinked="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Lit>
              <c:ptCount val="6"/>
              <c:pt idx="0">
                <c:v>Seitenteil Austausch</c:v>
              </c:pt>
              <c:pt idx="1">
                <c:v>Seitenteil Reparatur</c:v>
              </c:pt>
              <c:pt idx="2">
                <c:v>Stoßfänger Austausch</c:v>
              </c:pt>
              <c:pt idx="3">
                <c:v>Stoßfänger Reparatur</c:v>
              </c:pt>
              <c:pt idx="4">
                <c:v>Tür Austausch</c:v>
              </c:pt>
              <c:pt idx="5">
                <c:v>Tür Reparatur</c:v>
              </c:pt>
            </c:strLit>
          </c:cat>
          <c:val>
            <c:numRef>
              <c:f>'Ergebnisse PV Anlage'!$B$31:$G$31</c:f>
              <c:numCache>
                <c:formatCode>General</c:formatCode>
                <c:ptCount val="6"/>
                <c:pt idx="0">
                  <c:v>89.79197378437344</c:v>
                </c:pt>
                <c:pt idx="1">
                  <c:v>43.151367758651453</c:v>
                </c:pt>
                <c:pt idx="2">
                  <c:v>96.455591961911907</c:v>
                </c:pt>
                <c:pt idx="3">
                  <c:v>51.401237404902261</c:v>
                </c:pt>
                <c:pt idx="4">
                  <c:v>192.9922448039157</c:v>
                </c:pt>
                <c:pt idx="5">
                  <c:v>72.110644819203316</c:v>
                </c:pt>
              </c:numCache>
            </c:numRef>
          </c:val>
          <c:extLst>
            <c:ext xmlns:c15="http://schemas.microsoft.com/office/drawing/2012/chart" uri="{02D57815-91ED-43cb-92C2-25804820EDAC}">
              <c15:datalabelsRange>
                <c15:f>'Ergebnisse PV Anlage'!$B$26:$G$26</c15:f>
                <c15:dlblRangeCache>
                  <c:ptCount val="6"/>
                  <c:pt idx="0">
                    <c:v>89,8</c:v>
                  </c:pt>
                  <c:pt idx="1">
                    <c:v>43,2</c:v>
                  </c:pt>
                  <c:pt idx="2">
                    <c:v>96,5</c:v>
                  </c:pt>
                  <c:pt idx="3">
                    <c:v>51,4</c:v>
                  </c:pt>
                  <c:pt idx="4">
                    <c:v>193,0</c:v>
                  </c:pt>
                  <c:pt idx="5">
                    <c:v>72,1</c:v>
                  </c:pt>
                </c15:dlblRangeCache>
              </c15:datalabelsRange>
            </c:ext>
            <c:ext xmlns:c16="http://schemas.microsoft.com/office/drawing/2014/chart" uri="{C3380CC4-5D6E-409C-BE32-E72D297353CC}">
              <c16:uniqueId val="{00000007-A4F0-48B4-A31B-3E2412AB4C01}"/>
            </c:ext>
          </c:extLst>
        </c:ser>
        <c:ser>
          <c:idx val="2"/>
          <c:order val="2"/>
          <c:tx>
            <c:strRef>
              <c:f>'Ergebnisse PV Anlage'!$A$29</c:f>
              <c:strCache>
                <c:ptCount val="1"/>
                <c:pt idx="0">
                  <c:v>Abweichung pos</c:v>
                </c:pt>
              </c:strCache>
            </c:strRef>
          </c:tx>
          <c:spPr>
            <a:solidFill>
              <a:srgbClr val="FF0000"/>
            </a:solidFill>
            <a:ln>
              <a:noFill/>
            </a:ln>
            <a:effectLst/>
          </c:spPr>
          <c:invertIfNegative val="0"/>
          <c:cat>
            <c:strLit>
              <c:ptCount val="6"/>
              <c:pt idx="0">
                <c:v>Seitenteil Austausch</c:v>
              </c:pt>
              <c:pt idx="1">
                <c:v>Seitenteil Reparatur</c:v>
              </c:pt>
              <c:pt idx="2">
                <c:v>Stoßfänger Austausch</c:v>
              </c:pt>
              <c:pt idx="3">
                <c:v>Stoßfänger Reparatur</c:v>
              </c:pt>
              <c:pt idx="4">
                <c:v>Tür Austausch</c:v>
              </c:pt>
              <c:pt idx="5">
                <c:v>Tür Reparatur</c:v>
              </c:pt>
            </c:strLit>
          </c:cat>
          <c:val>
            <c:numRef>
              <c:f>'Ergebnisse PV Anlage'!$B$29:$G$29</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A4F0-48B4-A31B-3E2412AB4C01}"/>
            </c:ext>
          </c:extLst>
        </c:ser>
        <c:ser>
          <c:idx val="3"/>
          <c:order val="3"/>
          <c:tx>
            <c:strRef>
              <c:f>'Ergebnisse PV Anlage'!$A$30</c:f>
              <c:strCache>
                <c:ptCount val="1"/>
                <c:pt idx="0">
                  <c:v>Abweichung neg</c:v>
                </c:pt>
              </c:strCache>
            </c:strRef>
          </c:tx>
          <c:spPr>
            <a:solidFill>
              <a:schemeClr val="accent1"/>
            </a:solidFill>
            <a:ln>
              <a:noFill/>
            </a:ln>
            <a:effectLst/>
          </c:spPr>
          <c:invertIfNegative val="0"/>
          <c:cat>
            <c:strLit>
              <c:ptCount val="6"/>
              <c:pt idx="0">
                <c:v>Seitenteil Austausch</c:v>
              </c:pt>
              <c:pt idx="1">
                <c:v>Seitenteil Reparatur</c:v>
              </c:pt>
              <c:pt idx="2">
                <c:v>Stoßfänger Austausch</c:v>
              </c:pt>
              <c:pt idx="3">
                <c:v>Stoßfänger Reparatur</c:v>
              </c:pt>
              <c:pt idx="4">
                <c:v>Tür Austausch</c:v>
              </c:pt>
              <c:pt idx="5">
                <c:v>Tür Reparatur</c:v>
              </c:pt>
            </c:strLit>
          </c:cat>
          <c:val>
            <c:numRef>
              <c:f>'Ergebnisse PV Anlage'!$B$30:$G$30</c:f>
              <c:numCache>
                <c:formatCode>General</c:formatCode>
                <c:ptCount val="6"/>
                <c:pt idx="0">
                  <c:v>4.6361604652336865</c:v>
                </c:pt>
                <c:pt idx="1">
                  <c:v>8.3004283291996046</c:v>
                </c:pt>
                <c:pt idx="2">
                  <c:v>4.5043063838150914</c:v>
                </c:pt>
                <c:pt idx="3">
                  <c:v>9.2212802474306415</c:v>
                </c:pt>
                <c:pt idx="4">
                  <c:v>25.456348700855699</c:v>
                </c:pt>
                <c:pt idx="5">
                  <c:v>14.64005897465772</c:v>
                </c:pt>
              </c:numCache>
            </c:numRef>
          </c:val>
          <c:extLst>
            <c:ext xmlns:c16="http://schemas.microsoft.com/office/drawing/2014/chart" uri="{C3380CC4-5D6E-409C-BE32-E72D297353CC}">
              <c16:uniqueId val="{00000009-A4F0-48B4-A31B-3E2412AB4C01}"/>
            </c:ext>
          </c:extLst>
        </c:ser>
        <c:dLbls>
          <c:showLegendKey val="0"/>
          <c:showVal val="0"/>
          <c:showCatName val="0"/>
          <c:showSerName val="0"/>
          <c:showPercent val="0"/>
          <c:showBubbleSize val="0"/>
        </c:dLbls>
        <c:gapWidth val="250"/>
        <c:overlap val="100"/>
        <c:axId val="2132302976"/>
        <c:axId val="2132313792"/>
      </c:barChart>
      <c:lineChart>
        <c:grouping val="standard"/>
        <c:varyColors val="0"/>
        <c:ser>
          <c:idx val="4"/>
          <c:order val="4"/>
          <c:tx>
            <c:strRef>
              <c:f>'Ergebnisse PV Anlage'!$A$33</c:f>
              <c:strCache>
                <c:ptCount val="1"/>
                <c:pt idx="0">
                  <c:v>Position Datenbeschriftung</c:v>
                </c:pt>
              </c:strCache>
            </c:strRef>
          </c:tx>
          <c:spPr>
            <a:ln w="25400" cap="rnd">
              <a:noFill/>
              <a:round/>
            </a:ln>
            <a:effectLst/>
          </c:spPr>
          <c:marker>
            <c:symbol val="none"/>
          </c:marker>
          <c:dLbls>
            <c:dLbl>
              <c:idx val="0"/>
              <c:tx>
                <c:rich>
                  <a:bodyPr/>
                  <a:lstStyle/>
                  <a:p>
                    <a:fld id="{7E49A0DA-441C-4429-93E6-ACF4A8ABF2F7}"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4F0-48B4-A31B-3E2412AB4C01}"/>
                </c:ext>
              </c:extLst>
            </c:dLbl>
            <c:dLbl>
              <c:idx val="1"/>
              <c:tx>
                <c:rich>
                  <a:bodyPr/>
                  <a:lstStyle/>
                  <a:p>
                    <a:fld id="{8E94D2AD-7278-4E58-8D74-81F15BFCD50C}"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4F0-48B4-A31B-3E2412AB4C01}"/>
                </c:ext>
              </c:extLst>
            </c:dLbl>
            <c:dLbl>
              <c:idx val="2"/>
              <c:tx>
                <c:rich>
                  <a:bodyPr/>
                  <a:lstStyle/>
                  <a:p>
                    <a:fld id="{BEFFC987-FFFB-4C8D-AA96-557719F5A5B6}"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4F0-48B4-A31B-3E2412AB4C01}"/>
                </c:ext>
              </c:extLst>
            </c:dLbl>
            <c:dLbl>
              <c:idx val="3"/>
              <c:tx>
                <c:rich>
                  <a:bodyPr/>
                  <a:lstStyle/>
                  <a:p>
                    <a:fld id="{88DBDD68-703B-4B47-A54A-866F627E33CF}"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4F0-48B4-A31B-3E2412AB4C01}"/>
                </c:ext>
              </c:extLst>
            </c:dLbl>
            <c:dLbl>
              <c:idx val="4"/>
              <c:tx>
                <c:rich>
                  <a:bodyPr/>
                  <a:lstStyle/>
                  <a:p>
                    <a:fld id="{9D7A06BA-DE63-424B-9EA0-2012D64D0933}"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4F0-48B4-A31B-3E2412AB4C01}"/>
                </c:ext>
              </c:extLst>
            </c:dLbl>
            <c:dLbl>
              <c:idx val="5"/>
              <c:tx>
                <c:rich>
                  <a:bodyPr/>
                  <a:lstStyle/>
                  <a:p>
                    <a:fld id="{F812B9B9-1342-440E-B401-EEFE92453E9C}"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4F0-48B4-A31B-3E2412AB4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'Ergebnisse PV Anlage'!$B$24:$G$25</c:f>
              <c:multiLvlStrCache>
                <c:ptCount val="6"/>
                <c:lvl>
                  <c:pt idx="0">
                    <c:v>Austausch</c:v>
                  </c:pt>
                  <c:pt idx="1">
                    <c:v>Reparatur</c:v>
                  </c:pt>
                  <c:pt idx="2">
                    <c:v>Austausch</c:v>
                  </c:pt>
                  <c:pt idx="3">
                    <c:v>Reparatur</c:v>
                  </c:pt>
                  <c:pt idx="4">
                    <c:v>Austausch</c:v>
                  </c:pt>
                  <c:pt idx="5">
                    <c:v>Reparatur</c:v>
                  </c:pt>
                </c:lvl>
                <c:lvl>
                  <c:pt idx="0">
                    <c:v>Autotür</c:v>
                  </c:pt>
                  <c:pt idx="2">
                    <c:v>Stoßfänger</c:v>
                  </c:pt>
                  <c:pt idx="4">
                    <c:v>Seitenteil</c:v>
                  </c:pt>
                </c:lvl>
              </c:multiLvlStrCache>
            </c:multiLvlStrRef>
          </c:cat>
          <c:val>
            <c:numRef>
              <c:f>'Ergebnisse PV Anlage'!$B$33:$G$33</c:f>
              <c:numCache>
                <c:formatCode>0.0</c:formatCode>
                <c:ptCount val="6"/>
                <c:pt idx="0">
                  <c:v>99.149540962087485</c:v>
                </c:pt>
                <c:pt idx="1">
                  <c:v>54.024385892243615</c:v>
                </c:pt>
                <c:pt idx="2">
                  <c:v>106.00789326301334</c:v>
                </c:pt>
                <c:pt idx="3">
                  <c:v>63.653643534949545</c:v>
                </c:pt>
                <c:pt idx="4">
                  <c:v>229.37102318000996</c:v>
                </c:pt>
                <c:pt idx="5">
                  <c:v>91.088238983554092</c:v>
                </c:pt>
              </c:numCache>
            </c:numRef>
          </c:val>
          <c:smooth val="0"/>
          <c:extLst>
            <c:ext xmlns:c15="http://schemas.microsoft.com/office/drawing/2012/chart" uri="{02D57815-91ED-43cb-92C2-25804820EDAC}">
              <c15:datalabelsRange>
                <c15:f>'Ergebnisse PV Anlage'!$B$32:$G$32</c15:f>
                <c15:dlblRangeCache>
                  <c:ptCount val="6"/>
                  <c:pt idx="0">
                    <c:v>-4,9%</c:v>
                  </c:pt>
                  <c:pt idx="1">
                    <c:v>-16,1%</c:v>
                  </c:pt>
                  <c:pt idx="2">
                    <c:v>-4,5%</c:v>
                  </c:pt>
                  <c:pt idx="3">
                    <c:v>-15,2%</c:v>
                  </c:pt>
                  <c:pt idx="4">
                    <c:v>-11,7%</c:v>
                  </c:pt>
                  <c:pt idx="5">
                    <c:v>-16,9%</c:v>
                  </c:pt>
                </c15:dlblRangeCache>
              </c15:datalabelsRange>
            </c:ext>
            <c:ext xmlns:c16="http://schemas.microsoft.com/office/drawing/2014/chart" uri="{C3380CC4-5D6E-409C-BE32-E72D297353CC}">
              <c16:uniqueId val="{00000010-A4F0-48B4-A31B-3E2412AB4C01}"/>
            </c:ext>
          </c:extLst>
        </c:ser>
        <c:dLbls>
          <c:showLegendKey val="0"/>
          <c:showVal val="0"/>
          <c:showCatName val="0"/>
          <c:showSerName val="0"/>
          <c:showPercent val="0"/>
          <c:showBubbleSize val="0"/>
        </c:dLbls>
        <c:marker val="1"/>
        <c:smooth val="0"/>
        <c:axId val="2132302976"/>
        <c:axId val="2132313792"/>
      </c:lineChart>
      <c:catAx>
        <c:axId val="178787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7874224"/>
        <c:crosses val="autoZero"/>
        <c:auto val="1"/>
        <c:lblAlgn val="ctr"/>
        <c:lblOffset val="100"/>
        <c:noMultiLvlLbl val="0"/>
      </c:catAx>
      <c:valAx>
        <c:axId val="1787874224"/>
        <c:scaling>
          <c:orientation val="minMax"/>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lumMod val="65000"/>
                        <a:lumOff val="35000"/>
                      </a:sysClr>
                    </a:solidFill>
                    <a:latin typeface="+mn-lt"/>
                    <a:ea typeface="+mn-ea"/>
                    <a:cs typeface="+mn-cs"/>
                  </a:defRPr>
                </a:pPr>
                <a:r>
                  <a:rPr lang="de-DE" sz="1200" b="0" i="0" baseline="0">
                    <a:effectLst/>
                  </a:rPr>
                  <a:t>kgCO</a:t>
                </a:r>
                <a:r>
                  <a:rPr lang="de-DE" sz="1200" b="0" i="0" baseline="-25000">
                    <a:effectLst/>
                  </a:rPr>
                  <a:t>2</a:t>
                </a:r>
                <a:r>
                  <a:rPr lang="de-DE" sz="1200" b="0" i="0" baseline="0">
                    <a:effectLst/>
                  </a:rPr>
                  <a:t>Äq./instangesetzter Schaden</a:t>
                </a:r>
                <a:endParaRPr lang="de-DE" sz="12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lumMod val="65000"/>
                      <a:lumOff val="35000"/>
                    </a:sys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7877968"/>
        <c:crosses val="autoZero"/>
        <c:crossBetween val="between"/>
      </c:valAx>
      <c:valAx>
        <c:axId val="2132313792"/>
        <c:scaling>
          <c:orientation val="minMax"/>
        </c:scaling>
        <c:delete val="1"/>
        <c:axPos val="r"/>
        <c:numFmt formatCode="General" sourceLinked="1"/>
        <c:majorTickMark val="out"/>
        <c:minorTickMark val="none"/>
        <c:tickLblPos val="nextTo"/>
        <c:crossAx val="2132302976"/>
        <c:crosses val="max"/>
        <c:crossBetween val="between"/>
      </c:valAx>
      <c:catAx>
        <c:axId val="2132302976"/>
        <c:scaling>
          <c:orientation val="minMax"/>
        </c:scaling>
        <c:delete val="1"/>
        <c:axPos val="b"/>
        <c:numFmt formatCode="General" sourceLinked="1"/>
        <c:majorTickMark val="out"/>
        <c:minorTickMark val="none"/>
        <c:tickLblPos val="nextTo"/>
        <c:crossAx val="2132313792"/>
        <c:crosses val="autoZero"/>
        <c:auto val="1"/>
        <c:lblAlgn val="ctr"/>
        <c:lblOffset val="100"/>
        <c:noMultiLvlLbl val="0"/>
      </c:catAx>
      <c:spPr>
        <a:noFill/>
        <a:ln>
          <a:solidFill>
            <a:schemeClr val="bg1">
              <a:lumMod val="7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'Ergebnisse BHKW'!$A$27</c:f>
              <c:strCache>
                <c:ptCount val="1"/>
                <c:pt idx="0">
                  <c:v>Basis</c:v>
                </c:pt>
              </c:strCache>
            </c:strRef>
          </c:tx>
          <c:spPr>
            <a:solidFill>
              <a:schemeClr val="accent3"/>
            </a:solidFill>
            <a:ln>
              <a:noFill/>
            </a:ln>
            <a:effectLst/>
          </c:spPr>
          <c:invertIfNegative val="0"/>
          <c:cat>
            <c:multiLvlStrRef>
              <c:f>'Ergebnisse BHKW'!$B$24:$G$25</c:f>
              <c:multiLvlStrCache>
                <c:ptCount val="6"/>
                <c:lvl>
                  <c:pt idx="0">
                    <c:v>Austausch</c:v>
                  </c:pt>
                  <c:pt idx="1">
                    <c:v>Reparatur</c:v>
                  </c:pt>
                  <c:pt idx="2">
                    <c:v>Austausch</c:v>
                  </c:pt>
                  <c:pt idx="3">
                    <c:v>Reparatur</c:v>
                  </c:pt>
                  <c:pt idx="4">
                    <c:v>Austausch</c:v>
                  </c:pt>
                  <c:pt idx="5">
                    <c:v>Reparatur</c:v>
                  </c:pt>
                </c:lvl>
                <c:lvl>
                  <c:pt idx="0">
                    <c:v>Autotür</c:v>
                  </c:pt>
                  <c:pt idx="2">
                    <c:v>Stoßfänger</c:v>
                  </c:pt>
                  <c:pt idx="4">
                    <c:v>Seitenteil</c:v>
                  </c:pt>
                </c:lvl>
              </c:multiLvlStrCache>
            </c:multiLvlStrRef>
          </c:cat>
          <c:val>
            <c:numRef>
              <c:f>'Ergebnisse BHKW'!$B$27:$G$27</c:f>
              <c:numCache>
                <c:formatCode>0.00</c:formatCode>
                <c:ptCount val="6"/>
                <c:pt idx="0">
                  <c:v>1184.960280188257</c:v>
                </c:pt>
                <c:pt idx="1">
                  <c:v>796.43775995896794</c:v>
                </c:pt>
                <c:pt idx="2">
                  <c:v>1437.302306039132</c:v>
                </c:pt>
                <c:pt idx="3">
                  <c:v>923.98149267372241</c:v>
                </c:pt>
                <c:pt idx="4">
                  <c:v>3127.0822374370741</c:v>
                </c:pt>
                <c:pt idx="5">
                  <c:v>1337.1643182509399</c:v>
                </c:pt>
              </c:numCache>
            </c:numRef>
          </c:val>
          <c:extLst>
            <c:ext xmlns:c16="http://schemas.microsoft.com/office/drawing/2014/chart" uri="{C3380CC4-5D6E-409C-BE32-E72D297353CC}">
              <c16:uniqueId val="{00000000-5846-4C18-AC75-8D63C1B0EFB3}"/>
            </c:ext>
          </c:extLst>
        </c:ser>
        <c:dLbls>
          <c:showLegendKey val="0"/>
          <c:showVal val="0"/>
          <c:showCatName val="0"/>
          <c:showSerName val="0"/>
          <c:showPercent val="0"/>
          <c:showBubbleSize val="0"/>
        </c:dLbls>
        <c:gapWidth val="150"/>
        <c:overlap val="100"/>
        <c:axId val="1787877968"/>
        <c:axId val="1787874224"/>
      </c:barChart>
      <c:barChart>
        <c:barDir val="col"/>
        <c:grouping val="stacked"/>
        <c:varyColors val="0"/>
        <c:ser>
          <c:idx val="1"/>
          <c:order val="1"/>
          <c:tx>
            <c:strRef>
              <c:f>'Ergebnisse BHKW'!$A$31</c:f>
              <c:strCache>
                <c:ptCount val="1"/>
                <c:pt idx="0">
                  <c:v>Transparent</c:v>
                </c:pt>
              </c:strCache>
            </c:strRef>
          </c:tx>
          <c:spPr>
            <a:solidFill>
              <a:schemeClr val="accent3"/>
            </a:solidFill>
            <a:ln>
              <a:noFill/>
            </a:ln>
            <a:effectLst/>
          </c:spPr>
          <c:invertIfNegative val="0"/>
          <c:dLbls>
            <c:dLbl>
              <c:idx val="0"/>
              <c:tx>
                <c:rich>
                  <a:bodyPr/>
                  <a:lstStyle/>
                  <a:p>
                    <a:fld id="{C98A97B6-6D0B-4834-9BB8-24602F634CD6}"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846-4C18-AC75-8D63C1B0EFB3}"/>
                </c:ext>
              </c:extLst>
            </c:dLbl>
            <c:dLbl>
              <c:idx val="1"/>
              <c:tx>
                <c:rich>
                  <a:bodyPr/>
                  <a:lstStyle/>
                  <a:p>
                    <a:fld id="{0F66AC51-FF01-4785-B837-04AE908E905C}"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846-4C18-AC75-8D63C1B0EFB3}"/>
                </c:ext>
              </c:extLst>
            </c:dLbl>
            <c:dLbl>
              <c:idx val="2"/>
              <c:tx>
                <c:rich>
                  <a:bodyPr/>
                  <a:lstStyle/>
                  <a:p>
                    <a:fld id="{5BB85A02-A98F-4271-A5EA-D4C284B1FEDC}"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846-4C18-AC75-8D63C1B0EFB3}"/>
                </c:ext>
              </c:extLst>
            </c:dLbl>
            <c:dLbl>
              <c:idx val="3"/>
              <c:tx>
                <c:rich>
                  <a:bodyPr/>
                  <a:lstStyle/>
                  <a:p>
                    <a:fld id="{28EB2848-890F-4CBD-8698-97DFD673A4A8}"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846-4C18-AC75-8D63C1B0EFB3}"/>
                </c:ext>
              </c:extLst>
            </c:dLbl>
            <c:dLbl>
              <c:idx val="4"/>
              <c:tx>
                <c:rich>
                  <a:bodyPr/>
                  <a:lstStyle/>
                  <a:p>
                    <a:fld id="{8BAB9D8E-886B-4D3D-A4D7-D6A7C3F87780}"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846-4C18-AC75-8D63C1B0EFB3}"/>
                </c:ext>
              </c:extLst>
            </c:dLbl>
            <c:dLbl>
              <c:idx val="5"/>
              <c:tx>
                <c:rich>
                  <a:bodyPr/>
                  <a:lstStyle/>
                  <a:p>
                    <a:fld id="{9082A3DD-81BA-4284-96D6-58E843C1C63E}"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846-4C18-AC75-8D63C1B0EFB3}"/>
                </c:ext>
              </c:extLst>
            </c:dLbl>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Lit>
              <c:ptCount val="6"/>
              <c:pt idx="0">
                <c:v>Seitenteil Austausch</c:v>
              </c:pt>
              <c:pt idx="1">
                <c:v>Seitenteil Reparatur</c:v>
              </c:pt>
              <c:pt idx="2">
                <c:v>Stoßfänger Austausch</c:v>
              </c:pt>
              <c:pt idx="3">
                <c:v>Stoßfänger Reparatur</c:v>
              </c:pt>
              <c:pt idx="4">
                <c:v>Tür Austausch</c:v>
              </c:pt>
              <c:pt idx="5">
                <c:v>Tür Reparatur</c:v>
              </c:pt>
            </c:strLit>
          </c:cat>
          <c:val>
            <c:numRef>
              <c:f>'Ergebnisse BHKW'!$B$31:$G$31</c:f>
              <c:numCache>
                <c:formatCode>General</c:formatCode>
                <c:ptCount val="6"/>
                <c:pt idx="0">
                  <c:v>1180.5674603732859</c:v>
                </c:pt>
                <c:pt idx="1">
                  <c:v>788.57697279065349</c:v>
                </c:pt>
                <c:pt idx="2">
                  <c:v>1433.0541406707721</c:v>
                </c:pt>
                <c:pt idx="3">
                  <c:v>915.27315719285707</c:v>
                </c:pt>
                <c:pt idx="4">
                  <c:v>3103.0156954445351</c:v>
                </c:pt>
                <c:pt idx="5">
                  <c:v>1323.347778960298</c:v>
                </c:pt>
              </c:numCache>
            </c:numRef>
          </c:val>
          <c:extLst>
            <c:ext xmlns:c15="http://schemas.microsoft.com/office/drawing/2012/chart" uri="{02D57815-91ED-43cb-92C2-25804820EDAC}">
              <c15:datalabelsRange>
                <c15:f>'Ergebnisse BHKW'!$B$26:$G$26</c15:f>
                <c15:dlblRangeCache>
                  <c:ptCount val="6"/>
                  <c:pt idx="0">
                    <c:v>1180,6</c:v>
                  </c:pt>
                  <c:pt idx="1">
                    <c:v>788,6</c:v>
                  </c:pt>
                  <c:pt idx="2">
                    <c:v>1433,1</c:v>
                  </c:pt>
                  <c:pt idx="3">
                    <c:v>915,3</c:v>
                  </c:pt>
                  <c:pt idx="4">
                    <c:v>3103,0</c:v>
                  </c:pt>
                  <c:pt idx="5">
                    <c:v>1323,3</c:v>
                  </c:pt>
                </c15:dlblRangeCache>
              </c15:datalabelsRange>
            </c:ext>
            <c:ext xmlns:c16="http://schemas.microsoft.com/office/drawing/2014/chart" uri="{C3380CC4-5D6E-409C-BE32-E72D297353CC}">
              <c16:uniqueId val="{00000007-5846-4C18-AC75-8D63C1B0EFB3}"/>
            </c:ext>
          </c:extLst>
        </c:ser>
        <c:ser>
          <c:idx val="2"/>
          <c:order val="2"/>
          <c:tx>
            <c:strRef>
              <c:f>'Ergebnisse BHKW'!$A$29</c:f>
              <c:strCache>
                <c:ptCount val="1"/>
                <c:pt idx="0">
                  <c:v>Abweichung pos</c:v>
                </c:pt>
              </c:strCache>
            </c:strRef>
          </c:tx>
          <c:spPr>
            <a:solidFill>
              <a:srgbClr val="FF0000"/>
            </a:solidFill>
            <a:ln>
              <a:noFill/>
            </a:ln>
            <a:effectLst/>
          </c:spPr>
          <c:invertIfNegative val="0"/>
          <c:cat>
            <c:strLit>
              <c:ptCount val="6"/>
              <c:pt idx="0">
                <c:v>Seitenteil Austausch</c:v>
              </c:pt>
              <c:pt idx="1">
                <c:v>Seitenteil Reparatur</c:v>
              </c:pt>
              <c:pt idx="2">
                <c:v>Stoßfänger Austausch</c:v>
              </c:pt>
              <c:pt idx="3">
                <c:v>Stoßfänger Reparatur</c:v>
              </c:pt>
              <c:pt idx="4">
                <c:v>Tür Austausch</c:v>
              </c:pt>
              <c:pt idx="5">
                <c:v>Tür Reparatur</c:v>
              </c:pt>
            </c:strLit>
          </c:cat>
          <c:val>
            <c:numRef>
              <c:f>'Ergebnisse BHKW'!$B$29:$G$29</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5846-4C18-AC75-8D63C1B0EFB3}"/>
            </c:ext>
          </c:extLst>
        </c:ser>
        <c:ser>
          <c:idx val="3"/>
          <c:order val="3"/>
          <c:tx>
            <c:strRef>
              <c:f>'Ergebnisse BHKW'!$A$30</c:f>
              <c:strCache>
                <c:ptCount val="1"/>
                <c:pt idx="0">
                  <c:v>Abweichung neg</c:v>
                </c:pt>
              </c:strCache>
            </c:strRef>
          </c:tx>
          <c:spPr>
            <a:solidFill>
              <a:schemeClr val="accent1"/>
            </a:solidFill>
            <a:ln>
              <a:noFill/>
            </a:ln>
            <a:effectLst/>
          </c:spPr>
          <c:invertIfNegative val="0"/>
          <c:cat>
            <c:strLit>
              <c:ptCount val="6"/>
              <c:pt idx="0">
                <c:v>Seitenteil Austausch</c:v>
              </c:pt>
              <c:pt idx="1">
                <c:v>Seitenteil Reparatur</c:v>
              </c:pt>
              <c:pt idx="2">
                <c:v>Stoßfänger Austausch</c:v>
              </c:pt>
              <c:pt idx="3">
                <c:v>Stoßfänger Reparatur</c:v>
              </c:pt>
              <c:pt idx="4">
                <c:v>Tür Austausch</c:v>
              </c:pt>
              <c:pt idx="5">
                <c:v>Tür Reparatur</c:v>
              </c:pt>
            </c:strLit>
          </c:cat>
          <c:val>
            <c:numRef>
              <c:f>'Ergebnisse BHKW'!$B$30:$G$30</c:f>
              <c:numCache>
                <c:formatCode>General</c:formatCode>
                <c:ptCount val="6"/>
                <c:pt idx="0">
                  <c:v>4.3928198149710624</c:v>
                </c:pt>
                <c:pt idx="1">
                  <c:v>7.8607871683144594</c:v>
                </c:pt>
                <c:pt idx="2">
                  <c:v>4.2481653683598779</c:v>
                </c:pt>
                <c:pt idx="3">
                  <c:v>8.7083354808653439</c:v>
                </c:pt>
                <c:pt idx="4">
                  <c:v>24.066541992538987</c:v>
                </c:pt>
                <c:pt idx="5">
                  <c:v>13.816539290641913</c:v>
                </c:pt>
              </c:numCache>
            </c:numRef>
          </c:val>
          <c:extLst>
            <c:ext xmlns:c16="http://schemas.microsoft.com/office/drawing/2014/chart" uri="{C3380CC4-5D6E-409C-BE32-E72D297353CC}">
              <c16:uniqueId val="{00000009-5846-4C18-AC75-8D63C1B0EFB3}"/>
            </c:ext>
          </c:extLst>
        </c:ser>
        <c:dLbls>
          <c:showLegendKey val="0"/>
          <c:showVal val="0"/>
          <c:showCatName val="0"/>
          <c:showSerName val="0"/>
          <c:showPercent val="0"/>
          <c:showBubbleSize val="0"/>
        </c:dLbls>
        <c:gapWidth val="250"/>
        <c:overlap val="100"/>
        <c:axId val="2132302976"/>
        <c:axId val="2132313792"/>
      </c:barChart>
      <c:lineChart>
        <c:grouping val="standard"/>
        <c:varyColors val="0"/>
        <c:ser>
          <c:idx val="4"/>
          <c:order val="4"/>
          <c:tx>
            <c:strRef>
              <c:f>'Ergebnisse BHKW'!$A$33</c:f>
              <c:strCache>
                <c:ptCount val="1"/>
                <c:pt idx="0">
                  <c:v>Position Datenbeschriftung</c:v>
                </c:pt>
              </c:strCache>
            </c:strRef>
          </c:tx>
          <c:spPr>
            <a:ln w="25400" cap="rnd">
              <a:noFill/>
              <a:round/>
            </a:ln>
            <a:effectLst/>
          </c:spPr>
          <c:marker>
            <c:symbol val="none"/>
          </c:marker>
          <c:dLbls>
            <c:dLbl>
              <c:idx val="0"/>
              <c:tx>
                <c:rich>
                  <a:bodyPr/>
                  <a:lstStyle/>
                  <a:p>
                    <a:fld id="{21548802-90D3-4FE4-BDC2-9C2226663B6D}"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846-4C18-AC75-8D63C1B0EFB3}"/>
                </c:ext>
              </c:extLst>
            </c:dLbl>
            <c:dLbl>
              <c:idx val="1"/>
              <c:tx>
                <c:rich>
                  <a:bodyPr/>
                  <a:lstStyle/>
                  <a:p>
                    <a:fld id="{01051E87-9FE7-4B07-B7E4-7D8499506608}"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846-4C18-AC75-8D63C1B0EFB3}"/>
                </c:ext>
              </c:extLst>
            </c:dLbl>
            <c:dLbl>
              <c:idx val="2"/>
              <c:tx>
                <c:rich>
                  <a:bodyPr/>
                  <a:lstStyle/>
                  <a:p>
                    <a:fld id="{1F6C94D5-11C1-463D-910A-CA5632F389C4}"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846-4C18-AC75-8D63C1B0EFB3}"/>
                </c:ext>
              </c:extLst>
            </c:dLbl>
            <c:dLbl>
              <c:idx val="3"/>
              <c:tx>
                <c:rich>
                  <a:bodyPr/>
                  <a:lstStyle/>
                  <a:p>
                    <a:fld id="{EA0DC2A6-4C01-44F9-A37F-96244DE43555}"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846-4C18-AC75-8D63C1B0EFB3}"/>
                </c:ext>
              </c:extLst>
            </c:dLbl>
            <c:dLbl>
              <c:idx val="4"/>
              <c:tx>
                <c:rich>
                  <a:bodyPr/>
                  <a:lstStyle/>
                  <a:p>
                    <a:fld id="{BB5116F5-2B08-4A24-BB5C-7017B89CE4BB}"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846-4C18-AC75-8D63C1B0EFB3}"/>
                </c:ext>
              </c:extLst>
            </c:dLbl>
            <c:dLbl>
              <c:idx val="5"/>
              <c:tx>
                <c:rich>
                  <a:bodyPr/>
                  <a:lstStyle/>
                  <a:p>
                    <a:fld id="{9B8F995B-96A9-4C94-A0C5-7307B91E32B8}"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846-4C18-AC75-8D63C1B0EFB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'Ergebnisse PV Anlage'!$B$24:$G$25</c:f>
              <c:multiLvlStrCache>
                <c:ptCount val="6"/>
                <c:lvl>
                  <c:pt idx="0">
                    <c:v>Austausch</c:v>
                  </c:pt>
                  <c:pt idx="1">
                    <c:v>Reparatur</c:v>
                  </c:pt>
                  <c:pt idx="2">
                    <c:v>Austausch</c:v>
                  </c:pt>
                  <c:pt idx="3">
                    <c:v>Reparatur</c:v>
                  </c:pt>
                  <c:pt idx="4">
                    <c:v>Austausch</c:v>
                  </c:pt>
                  <c:pt idx="5">
                    <c:v>Reparatur</c:v>
                  </c:pt>
                </c:lvl>
                <c:lvl>
                  <c:pt idx="0">
                    <c:v>Autotür</c:v>
                  </c:pt>
                  <c:pt idx="2">
                    <c:v>Stoßfänger</c:v>
                  </c:pt>
                  <c:pt idx="4">
                    <c:v>Seitenteil</c:v>
                  </c:pt>
                </c:lvl>
              </c:multiLvlStrCache>
            </c:multiLvlStrRef>
          </c:cat>
          <c:val>
            <c:numRef>
              <c:f>'Ergebnisse BHKW'!$B$33:$G$33</c:f>
              <c:numCache>
                <c:formatCode>0.0</c:formatCode>
                <c:ptCount val="6"/>
                <c:pt idx="0">
                  <c:v>1244.2082941976698</c:v>
                </c:pt>
                <c:pt idx="1">
                  <c:v>836.2596479569163</c:v>
                </c:pt>
                <c:pt idx="2">
                  <c:v>1509.1674213410886</c:v>
                </c:pt>
                <c:pt idx="3">
                  <c:v>970.18056730740852</c:v>
                </c:pt>
                <c:pt idx="4">
                  <c:v>3283.4363493089277</c:v>
                </c:pt>
                <c:pt idx="5">
                  <c:v>1404.0225341634869</c:v>
                </c:pt>
              </c:numCache>
            </c:numRef>
          </c:val>
          <c:smooth val="0"/>
          <c:extLst>
            <c:ext xmlns:c15="http://schemas.microsoft.com/office/drawing/2012/chart" uri="{02D57815-91ED-43cb-92C2-25804820EDAC}">
              <c15:datalabelsRange>
                <c15:f>'Ergebnisse BHKW'!$B$32:$G$32</c15:f>
                <c15:dlblRangeCache>
                  <c:ptCount val="6"/>
                  <c:pt idx="0">
                    <c:v>-0,4%</c:v>
                  </c:pt>
                  <c:pt idx="1">
                    <c:v>-1,0%</c:v>
                  </c:pt>
                  <c:pt idx="2">
                    <c:v>-0,3%</c:v>
                  </c:pt>
                  <c:pt idx="3">
                    <c:v>-0,9%</c:v>
                  </c:pt>
                  <c:pt idx="4">
                    <c:v>-0,8%</c:v>
                  </c:pt>
                  <c:pt idx="5">
                    <c:v>-1,0%</c:v>
                  </c:pt>
                </c15:dlblRangeCache>
              </c15:datalabelsRange>
            </c:ext>
            <c:ext xmlns:c16="http://schemas.microsoft.com/office/drawing/2014/chart" uri="{C3380CC4-5D6E-409C-BE32-E72D297353CC}">
              <c16:uniqueId val="{00000010-5846-4C18-AC75-8D63C1B0EFB3}"/>
            </c:ext>
          </c:extLst>
        </c:ser>
        <c:dLbls>
          <c:showLegendKey val="0"/>
          <c:showVal val="0"/>
          <c:showCatName val="0"/>
          <c:showSerName val="0"/>
          <c:showPercent val="0"/>
          <c:showBubbleSize val="0"/>
        </c:dLbls>
        <c:marker val="1"/>
        <c:smooth val="0"/>
        <c:axId val="2132302976"/>
        <c:axId val="2132313792"/>
      </c:lineChart>
      <c:catAx>
        <c:axId val="178787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7874224"/>
        <c:crosses val="autoZero"/>
        <c:auto val="1"/>
        <c:lblAlgn val="ctr"/>
        <c:lblOffset val="100"/>
        <c:noMultiLvlLbl val="0"/>
      </c:catAx>
      <c:valAx>
        <c:axId val="1787874224"/>
        <c:scaling>
          <c:orientation val="minMax"/>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de-DE" sz="1800" b="0" i="0" baseline="0">
                    <a:effectLst/>
                  </a:rPr>
                  <a:t>kgCO</a:t>
                </a:r>
                <a:r>
                  <a:rPr lang="de-DE" sz="1800" b="0" i="0" baseline="-25000">
                    <a:effectLst/>
                  </a:rPr>
                  <a:t>2</a:t>
                </a:r>
                <a:r>
                  <a:rPr lang="de-DE" sz="1800" b="0" i="0" baseline="0">
                    <a:effectLst/>
                  </a:rPr>
                  <a:t>Äq./instangesetzter Schaden</a:t>
                </a:r>
                <a:endParaRPr lang="de-DE">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7877968"/>
        <c:crosses val="autoZero"/>
        <c:crossBetween val="between"/>
      </c:valAx>
      <c:valAx>
        <c:axId val="2132313792"/>
        <c:scaling>
          <c:orientation val="minMax"/>
        </c:scaling>
        <c:delete val="1"/>
        <c:axPos val="r"/>
        <c:numFmt formatCode="General" sourceLinked="1"/>
        <c:majorTickMark val="out"/>
        <c:minorTickMark val="none"/>
        <c:tickLblPos val="nextTo"/>
        <c:crossAx val="2132302976"/>
        <c:crosses val="max"/>
        <c:crossBetween val="between"/>
      </c:valAx>
      <c:catAx>
        <c:axId val="2132302976"/>
        <c:scaling>
          <c:orientation val="minMax"/>
        </c:scaling>
        <c:delete val="1"/>
        <c:axPos val="b"/>
        <c:numFmt formatCode="General" sourceLinked="1"/>
        <c:majorTickMark val="out"/>
        <c:minorTickMark val="none"/>
        <c:tickLblPos val="nextTo"/>
        <c:crossAx val="2132313792"/>
        <c:crosses val="autoZero"/>
        <c:auto val="1"/>
        <c:lblAlgn val="ctr"/>
        <c:lblOffset val="100"/>
        <c:noMultiLvlLbl val="0"/>
      </c:catAx>
      <c:spPr>
        <a:noFill/>
        <a:ln>
          <a:solidFill>
            <a:schemeClr val="bg1">
              <a:lumMod val="8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'Ergebnisse Recycling Stoßfänger'!$A$27</c:f>
              <c:strCache>
                <c:ptCount val="1"/>
                <c:pt idx="0">
                  <c:v>Basis</c:v>
                </c:pt>
              </c:strCache>
            </c:strRef>
          </c:tx>
          <c:spPr>
            <a:solidFill>
              <a:schemeClr val="accent3"/>
            </a:solidFill>
            <a:ln>
              <a:noFill/>
            </a:ln>
            <a:effectLst/>
          </c:spPr>
          <c:invertIfNegative val="0"/>
          <c:cat>
            <c:multiLvlStrRef>
              <c:f>'Ergebnisse Recycling Stoßfänger'!$B$24:$C$25</c:f>
              <c:multiLvlStrCache>
                <c:ptCount val="2"/>
                <c:lvl>
                  <c:pt idx="0">
                    <c:v>Austausch</c:v>
                  </c:pt>
                  <c:pt idx="1">
                    <c:v>Reparatur</c:v>
                  </c:pt>
                </c:lvl>
                <c:lvl>
                  <c:pt idx="0">
                    <c:v>Stoßfänger</c:v>
                  </c:pt>
                </c:lvl>
              </c:multiLvlStrCache>
            </c:multiLvlStrRef>
          </c:cat>
          <c:val>
            <c:numRef>
              <c:f>'Ergebnisse Recycling Stoßfänger'!$B$27:$C$27</c:f>
              <c:numCache>
                <c:formatCode>0.00</c:formatCode>
                <c:ptCount val="2"/>
                <c:pt idx="0">
                  <c:v>100.959898345727</c:v>
                </c:pt>
                <c:pt idx="1">
                  <c:v>60.622517652332903</c:v>
                </c:pt>
              </c:numCache>
            </c:numRef>
          </c:val>
          <c:extLst>
            <c:ext xmlns:c16="http://schemas.microsoft.com/office/drawing/2014/chart" uri="{C3380CC4-5D6E-409C-BE32-E72D297353CC}">
              <c16:uniqueId val="{00000000-5C26-4FF1-89E0-07302D7B2FF4}"/>
            </c:ext>
          </c:extLst>
        </c:ser>
        <c:dLbls>
          <c:showLegendKey val="0"/>
          <c:showVal val="0"/>
          <c:showCatName val="0"/>
          <c:showSerName val="0"/>
          <c:showPercent val="0"/>
          <c:showBubbleSize val="0"/>
        </c:dLbls>
        <c:gapWidth val="150"/>
        <c:overlap val="100"/>
        <c:axId val="1787877968"/>
        <c:axId val="1787874224"/>
      </c:barChart>
      <c:barChart>
        <c:barDir val="col"/>
        <c:grouping val="stacked"/>
        <c:varyColors val="0"/>
        <c:ser>
          <c:idx val="1"/>
          <c:order val="1"/>
          <c:tx>
            <c:strRef>
              <c:f>'Ergebnisse Recycling Stoßfänger'!$A$31</c:f>
              <c:strCache>
                <c:ptCount val="1"/>
                <c:pt idx="0">
                  <c:v>Transparent</c:v>
                </c:pt>
              </c:strCache>
            </c:strRef>
          </c:tx>
          <c:spPr>
            <a:solidFill>
              <a:schemeClr val="accent3"/>
            </a:solidFill>
            <a:ln>
              <a:noFill/>
            </a:ln>
            <a:effectLst/>
          </c:spPr>
          <c:invertIfNegative val="0"/>
          <c:dLbls>
            <c:dLbl>
              <c:idx val="0"/>
              <c:tx>
                <c:rich>
                  <a:bodyPr/>
                  <a:lstStyle/>
                  <a:p>
                    <a:fld id="{AEED0DA8-9162-4650-A3DC-E943930ABBF8}"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C26-4FF1-89E0-07302D7B2FF4}"/>
                </c:ext>
              </c:extLst>
            </c:dLbl>
            <c:dLbl>
              <c:idx val="1"/>
              <c:tx>
                <c:rich>
                  <a:bodyPr/>
                  <a:lstStyle/>
                  <a:p>
                    <a:fld id="{F6597326-C0F2-4368-A2B9-4C4154282DD2}"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C26-4FF1-89E0-07302D7B2FF4}"/>
                </c:ext>
              </c:extLst>
            </c:dLbl>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Lit>
              <c:ptCount val="6"/>
              <c:pt idx="0">
                <c:v>Seitenteil Austausch</c:v>
              </c:pt>
              <c:pt idx="1">
                <c:v>Seitenteil Reparatur</c:v>
              </c:pt>
              <c:pt idx="2">
                <c:v>Stoßfänger Austausch</c:v>
              </c:pt>
              <c:pt idx="3">
                <c:v>Stoßfänger Reparatur</c:v>
              </c:pt>
              <c:pt idx="4">
                <c:v>Tür Austausch</c:v>
              </c:pt>
              <c:pt idx="5">
                <c:v>Tür Reparatur</c:v>
              </c:pt>
            </c:strLit>
          </c:cat>
          <c:val>
            <c:numRef>
              <c:f>'Ergebnisse Recycling Stoßfänger'!$B$31:$C$31</c:f>
              <c:numCache>
                <c:formatCode>General</c:formatCode>
                <c:ptCount val="2"/>
                <c:pt idx="0">
                  <c:v>70.793385579606095</c:v>
                </c:pt>
                <c:pt idx="1">
                  <c:v>60.622517652332903</c:v>
                </c:pt>
              </c:numCache>
            </c:numRef>
          </c:val>
          <c:extLst>
            <c:ext xmlns:c15="http://schemas.microsoft.com/office/drawing/2012/chart" uri="{02D57815-91ED-43cb-92C2-25804820EDAC}">
              <c15:datalabelsRange>
                <c15:f>'Ergebnisse Recycling Stoßfänger'!$B$26:$C$26</c15:f>
                <c15:dlblRangeCache>
                  <c:ptCount val="2"/>
                  <c:pt idx="0">
                    <c:v>70,8</c:v>
                  </c:pt>
                  <c:pt idx="1">
                    <c:v>60,6</c:v>
                  </c:pt>
                </c15:dlblRangeCache>
              </c15:datalabelsRange>
            </c:ext>
            <c:ext xmlns:c16="http://schemas.microsoft.com/office/drawing/2014/chart" uri="{C3380CC4-5D6E-409C-BE32-E72D297353CC}">
              <c16:uniqueId val="{00000003-5C26-4FF1-89E0-07302D7B2FF4}"/>
            </c:ext>
          </c:extLst>
        </c:ser>
        <c:ser>
          <c:idx val="2"/>
          <c:order val="2"/>
          <c:tx>
            <c:strRef>
              <c:f>'Ergebnisse Recycling Stoßfänger'!$A$29</c:f>
              <c:strCache>
                <c:ptCount val="1"/>
                <c:pt idx="0">
                  <c:v>Abweichung pos</c:v>
                </c:pt>
              </c:strCache>
            </c:strRef>
          </c:tx>
          <c:spPr>
            <a:solidFill>
              <a:srgbClr val="FF0000"/>
            </a:solidFill>
            <a:ln>
              <a:noFill/>
            </a:ln>
            <a:effectLst/>
          </c:spPr>
          <c:invertIfNegative val="0"/>
          <c:cat>
            <c:strLit>
              <c:ptCount val="6"/>
              <c:pt idx="0">
                <c:v>Seitenteil Austausch</c:v>
              </c:pt>
              <c:pt idx="1">
                <c:v>Seitenteil Reparatur</c:v>
              </c:pt>
              <c:pt idx="2">
                <c:v>Stoßfänger Austausch</c:v>
              </c:pt>
              <c:pt idx="3">
                <c:v>Stoßfänger Reparatur</c:v>
              </c:pt>
              <c:pt idx="4">
                <c:v>Tür Austausch</c:v>
              </c:pt>
              <c:pt idx="5">
                <c:v>Tür Reparatur</c:v>
              </c:pt>
            </c:strLit>
          </c:cat>
          <c:val>
            <c:numRef>
              <c:f>'Ergebnisse Recycling Stoßfänger'!$B$29:$C$29</c:f>
              <c:numCache>
                <c:formatCode>General</c:formatCode>
                <c:ptCount val="2"/>
                <c:pt idx="0">
                  <c:v>0</c:v>
                </c:pt>
                <c:pt idx="1">
                  <c:v>0</c:v>
                </c:pt>
              </c:numCache>
            </c:numRef>
          </c:val>
          <c:extLst>
            <c:ext xmlns:c16="http://schemas.microsoft.com/office/drawing/2014/chart" uri="{C3380CC4-5D6E-409C-BE32-E72D297353CC}">
              <c16:uniqueId val="{00000004-5C26-4FF1-89E0-07302D7B2FF4}"/>
            </c:ext>
          </c:extLst>
        </c:ser>
        <c:ser>
          <c:idx val="3"/>
          <c:order val="3"/>
          <c:tx>
            <c:strRef>
              <c:f>'Ergebnisse Recycling Stoßfänger'!$A$30</c:f>
              <c:strCache>
                <c:ptCount val="1"/>
                <c:pt idx="0">
                  <c:v>Abweichung neg</c:v>
                </c:pt>
              </c:strCache>
            </c:strRef>
          </c:tx>
          <c:spPr>
            <a:solidFill>
              <a:schemeClr val="accent1"/>
            </a:solidFill>
            <a:ln>
              <a:noFill/>
            </a:ln>
            <a:effectLst/>
          </c:spPr>
          <c:invertIfNegative val="0"/>
          <c:cat>
            <c:strLit>
              <c:ptCount val="6"/>
              <c:pt idx="0">
                <c:v>Seitenteil Austausch</c:v>
              </c:pt>
              <c:pt idx="1">
                <c:v>Seitenteil Reparatur</c:v>
              </c:pt>
              <c:pt idx="2">
                <c:v>Stoßfänger Austausch</c:v>
              </c:pt>
              <c:pt idx="3">
                <c:v>Stoßfänger Reparatur</c:v>
              </c:pt>
              <c:pt idx="4">
                <c:v>Tür Austausch</c:v>
              </c:pt>
              <c:pt idx="5">
                <c:v>Tür Reparatur</c:v>
              </c:pt>
            </c:strLit>
          </c:cat>
          <c:val>
            <c:numRef>
              <c:f>'Ergebnisse Recycling Stoßfänger'!$B$30:$C$30</c:f>
              <c:numCache>
                <c:formatCode>General</c:formatCode>
                <c:ptCount val="2"/>
                <c:pt idx="0">
                  <c:v>30.166512766120903</c:v>
                </c:pt>
                <c:pt idx="1">
                  <c:v>0</c:v>
                </c:pt>
              </c:numCache>
            </c:numRef>
          </c:val>
          <c:extLst>
            <c:ext xmlns:c16="http://schemas.microsoft.com/office/drawing/2014/chart" uri="{C3380CC4-5D6E-409C-BE32-E72D297353CC}">
              <c16:uniqueId val="{00000005-5C26-4FF1-89E0-07302D7B2FF4}"/>
            </c:ext>
          </c:extLst>
        </c:ser>
        <c:dLbls>
          <c:showLegendKey val="0"/>
          <c:showVal val="0"/>
          <c:showCatName val="0"/>
          <c:showSerName val="0"/>
          <c:showPercent val="0"/>
          <c:showBubbleSize val="0"/>
        </c:dLbls>
        <c:gapWidth val="250"/>
        <c:overlap val="100"/>
        <c:axId val="2132302976"/>
        <c:axId val="2132313792"/>
      </c:barChart>
      <c:lineChart>
        <c:grouping val="standard"/>
        <c:varyColors val="0"/>
        <c:ser>
          <c:idx val="4"/>
          <c:order val="4"/>
          <c:tx>
            <c:strRef>
              <c:f>'Ergebnisse Recycling Stoßfänger'!$A$33</c:f>
              <c:strCache>
                <c:ptCount val="1"/>
                <c:pt idx="0">
                  <c:v>Position Datenbeschriftung</c:v>
                </c:pt>
              </c:strCache>
            </c:strRef>
          </c:tx>
          <c:spPr>
            <a:ln w="25400" cap="rnd">
              <a:noFill/>
              <a:round/>
            </a:ln>
            <a:effectLst/>
          </c:spPr>
          <c:marker>
            <c:symbol val="none"/>
          </c:marker>
          <c:dLbls>
            <c:dLbl>
              <c:idx val="0"/>
              <c:tx>
                <c:rich>
                  <a:bodyPr/>
                  <a:lstStyle/>
                  <a:p>
                    <a:fld id="{95B91B07-0B3D-45F3-AE15-8087C6453C66}"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C26-4FF1-89E0-07302D7B2FF4}"/>
                </c:ext>
              </c:extLst>
            </c:dLbl>
            <c:dLbl>
              <c:idx val="1"/>
              <c:tx>
                <c:rich>
                  <a:bodyPr/>
                  <a:lstStyle/>
                  <a:p>
                    <a:fld id="{07905C5D-B6B4-4274-A941-95C874A56197}"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C26-4FF1-89E0-07302D7B2F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'Ergebnisse Recycling Stoßfänger'!$B$24:$C$25</c:f>
              <c:multiLvlStrCache>
                <c:ptCount val="2"/>
                <c:lvl>
                  <c:pt idx="0">
                    <c:v>Austausch</c:v>
                  </c:pt>
                  <c:pt idx="1">
                    <c:v>Reparatur</c:v>
                  </c:pt>
                </c:lvl>
                <c:lvl>
                  <c:pt idx="0">
                    <c:v>Stoßfänger</c:v>
                  </c:pt>
                </c:lvl>
              </c:multiLvlStrCache>
            </c:multiLvlStrRef>
          </c:cat>
          <c:val>
            <c:numRef>
              <c:f>'Ergebnisse Recycling Stoßfänger'!$B$33:$C$33</c:f>
              <c:numCache>
                <c:formatCode>0.0</c:formatCode>
                <c:ptCount val="2"/>
                <c:pt idx="0">
                  <c:v>106.00789326301334</c:v>
                </c:pt>
                <c:pt idx="1">
                  <c:v>63.653643534949545</c:v>
                </c:pt>
              </c:numCache>
            </c:numRef>
          </c:val>
          <c:smooth val="0"/>
          <c:extLst>
            <c:ext xmlns:c15="http://schemas.microsoft.com/office/drawing/2012/chart" uri="{02D57815-91ED-43cb-92C2-25804820EDAC}">
              <c15:datalabelsRange>
                <c15:f>'Ergebnisse Recycling Stoßfänger'!$B$32:$C$32</c15:f>
                <c15:dlblRangeCache>
                  <c:ptCount val="2"/>
                  <c:pt idx="0">
                    <c:v>-29,9%</c:v>
                  </c:pt>
                  <c:pt idx="1">
                    <c:v>0,0%</c:v>
                  </c:pt>
                </c15:dlblRangeCache>
              </c15:datalabelsRange>
            </c:ext>
            <c:ext xmlns:c16="http://schemas.microsoft.com/office/drawing/2014/chart" uri="{C3380CC4-5D6E-409C-BE32-E72D297353CC}">
              <c16:uniqueId val="{00000008-5C26-4FF1-89E0-07302D7B2FF4}"/>
            </c:ext>
          </c:extLst>
        </c:ser>
        <c:dLbls>
          <c:showLegendKey val="0"/>
          <c:showVal val="0"/>
          <c:showCatName val="0"/>
          <c:showSerName val="0"/>
          <c:showPercent val="0"/>
          <c:showBubbleSize val="0"/>
        </c:dLbls>
        <c:marker val="1"/>
        <c:smooth val="0"/>
        <c:axId val="2132302976"/>
        <c:axId val="2132313792"/>
      </c:lineChart>
      <c:catAx>
        <c:axId val="178787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7874224"/>
        <c:crosses val="autoZero"/>
        <c:auto val="1"/>
        <c:lblAlgn val="ctr"/>
        <c:lblOffset val="100"/>
        <c:noMultiLvlLbl val="0"/>
      </c:catAx>
      <c:valAx>
        <c:axId val="1787874224"/>
        <c:scaling>
          <c:orientation val="minMax"/>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de-DE" sz="1800" b="0" i="0" baseline="0">
                    <a:effectLst/>
                  </a:rPr>
                  <a:t>kgCO</a:t>
                </a:r>
                <a:r>
                  <a:rPr lang="de-DE" sz="1800" b="0" i="0" baseline="-25000">
                    <a:effectLst/>
                  </a:rPr>
                  <a:t>2</a:t>
                </a:r>
                <a:r>
                  <a:rPr lang="de-DE" sz="1800" b="0" i="0" baseline="0">
                    <a:effectLst/>
                  </a:rPr>
                  <a:t>Äq./instangesetzter Schaden</a:t>
                </a:r>
                <a:endParaRPr lang="de-DE">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7877968"/>
        <c:crosses val="autoZero"/>
        <c:crossBetween val="between"/>
      </c:valAx>
      <c:valAx>
        <c:axId val="2132313792"/>
        <c:scaling>
          <c:orientation val="minMax"/>
        </c:scaling>
        <c:delete val="1"/>
        <c:axPos val="r"/>
        <c:numFmt formatCode="General" sourceLinked="1"/>
        <c:majorTickMark val="out"/>
        <c:minorTickMark val="none"/>
        <c:tickLblPos val="nextTo"/>
        <c:crossAx val="2132302976"/>
        <c:crosses val="max"/>
        <c:crossBetween val="between"/>
      </c:valAx>
      <c:catAx>
        <c:axId val="2132302976"/>
        <c:scaling>
          <c:orientation val="minMax"/>
        </c:scaling>
        <c:delete val="1"/>
        <c:axPos val="b"/>
        <c:numFmt formatCode="General" sourceLinked="1"/>
        <c:majorTickMark val="out"/>
        <c:minorTickMark val="none"/>
        <c:tickLblPos val="nextTo"/>
        <c:crossAx val="2132313792"/>
        <c:crosses val="autoZero"/>
        <c:auto val="1"/>
        <c:lblAlgn val="ctr"/>
        <c:lblOffset val="100"/>
        <c:noMultiLvlLbl val="0"/>
      </c:catAx>
      <c:spPr>
        <a:noFill/>
        <a:ln>
          <a:solidFill>
            <a:schemeClr val="bg1">
              <a:lumMod val="7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'Ergebnisse leichtes Neuteil'!$A$27</c:f>
              <c:strCache>
                <c:ptCount val="1"/>
                <c:pt idx="0">
                  <c:v>Basis</c:v>
                </c:pt>
              </c:strCache>
            </c:strRef>
          </c:tx>
          <c:spPr>
            <a:solidFill>
              <a:schemeClr val="accent3"/>
            </a:solidFill>
            <a:ln>
              <a:noFill/>
            </a:ln>
            <a:effectLst/>
          </c:spPr>
          <c:invertIfNegative val="0"/>
          <c:cat>
            <c:multiLvlStrRef>
              <c:f>'Ergebnisse leichtes Neuteil'!$B$24:$G$25</c:f>
              <c:multiLvlStrCache>
                <c:ptCount val="6"/>
                <c:lvl>
                  <c:pt idx="0">
                    <c:v>Austausch</c:v>
                  </c:pt>
                  <c:pt idx="1">
                    <c:v>Reparatur</c:v>
                  </c:pt>
                  <c:pt idx="2">
                    <c:v>Austausch</c:v>
                  </c:pt>
                  <c:pt idx="3">
                    <c:v>Reparatur</c:v>
                  </c:pt>
                  <c:pt idx="4">
                    <c:v>Austausch</c:v>
                  </c:pt>
                  <c:pt idx="5">
                    <c:v>Reparatur</c:v>
                  </c:pt>
                </c:lvl>
                <c:lvl>
                  <c:pt idx="0">
                    <c:v>Autotür</c:v>
                  </c:pt>
                  <c:pt idx="2">
                    <c:v>Stoßfänger</c:v>
                  </c:pt>
                  <c:pt idx="4">
                    <c:v>Seitenteil</c:v>
                  </c:pt>
                </c:lvl>
              </c:multiLvlStrCache>
            </c:multiLvlStrRef>
          </c:cat>
          <c:val>
            <c:numRef>
              <c:f>'Ergebnisse leichtes Neuteil'!$B$27:$G$27</c:f>
              <c:numCache>
                <c:formatCode>0.00</c:formatCode>
                <c:ptCount val="6"/>
                <c:pt idx="0">
                  <c:v>94.428134249607126</c:v>
                </c:pt>
                <c:pt idx="1">
                  <c:v>51.451796087851058</c:v>
                </c:pt>
                <c:pt idx="2">
                  <c:v>100.959898345727</c:v>
                </c:pt>
                <c:pt idx="3">
                  <c:v>60.622517652332903</c:v>
                </c:pt>
                <c:pt idx="4">
                  <c:v>218.4485935047714</c:v>
                </c:pt>
                <c:pt idx="5">
                  <c:v>86.750703793861035</c:v>
                </c:pt>
              </c:numCache>
            </c:numRef>
          </c:val>
          <c:extLst>
            <c:ext xmlns:c16="http://schemas.microsoft.com/office/drawing/2014/chart" uri="{C3380CC4-5D6E-409C-BE32-E72D297353CC}">
              <c16:uniqueId val="{00000000-79E1-44BF-851A-F7F75AAD6DEC}"/>
            </c:ext>
          </c:extLst>
        </c:ser>
        <c:dLbls>
          <c:showLegendKey val="0"/>
          <c:showVal val="0"/>
          <c:showCatName val="0"/>
          <c:showSerName val="0"/>
          <c:showPercent val="0"/>
          <c:showBubbleSize val="0"/>
        </c:dLbls>
        <c:gapWidth val="150"/>
        <c:overlap val="100"/>
        <c:axId val="1787877968"/>
        <c:axId val="1787874224"/>
      </c:barChart>
      <c:barChart>
        <c:barDir val="col"/>
        <c:grouping val="stacked"/>
        <c:varyColors val="0"/>
        <c:ser>
          <c:idx val="1"/>
          <c:order val="1"/>
          <c:tx>
            <c:strRef>
              <c:f>'Ergebnisse leichtes Neuteil'!$A$31</c:f>
              <c:strCache>
                <c:ptCount val="1"/>
                <c:pt idx="0">
                  <c:v>Transparent</c:v>
                </c:pt>
              </c:strCache>
            </c:strRef>
          </c:tx>
          <c:spPr>
            <a:solidFill>
              <a:schemeClr val="accent3"/>
            </a:solidFill>
            <a:ln>
              <a:noFill/>
            </a:ln>
            <a:effectLst/>
          </c:spPr>
          <c:invertIfNegative val="0"/>
          <c:dLbls>
            <c:dLbl>
              <c:idx val="0"/>
              <c:tx>
                <c:rich>
                  <a:bodyPr/>
                  <a:lstStyle/>
                  <a:p>
                    <a:fld id="{39BBD134-3A07-43B3-87BF-5B4E435CD253}"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79E1-44BF-851A-F7F75AAD6DEC}"/>
                </c:ext>
              </c:extLst>
            </c:dLbl>
            <c:dLbl>
              <c:idx val="1"/>
              <c:tx>
                <c:rich>
                  <a:bodyPr/>
                  <a:lstStyle/>
                  <a:p>
                    <a:fld id="{E760665A-1B6E-4FB2-BB61-D553BE01F914}"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9E1-44BF-851A-F7F75AAD6DEC}"/>
                </c:ext>
              </c:extLst>
            </c:dLbl>
            <c:dLbl>
              <c:idx val="2"/>
              <c:tx>
                <c:rich>
                  <a:bodyPr/>
                  <a:lstStyle/>
                  <a:p>
                    <a:fld id="{8DCCFC46-9DCC-45F0-9970-7073FD545A19}"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9E1-44BF-851A-F7F75AAD6DEC}"/>
                </c:ext>
              </c:extLst>
            </c:dLbl>
            <c:dLbl>
              <c:idx val="3"/>
              <c:tx>
                <c:rich>
                  <a:bodyPr/>
                  <a:lstStyle/>
                  <a:p>
                    <a:fld id="{DB3435C0-BDD3-480E-AAAA-F0D378913D75}"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9E1-44BF-851A-F7F75AAD6DEC}"/>
                </c:ext>
              </c:extLst>
            </c:dLbl>
            <c:dLbl>
              <c:idx val="4"/>
              <c:tx>
                <c:rich>
                  <a:bodyPr/>
                  <a:lstStyle/>
                  <a:p>
                    <a:fld id="{D34D4750-CB58-4A5A-82F6-067231959305}"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9E1-44BF-851A-F7F75AAD6DEC}"/>
                </c:ext>
              </c:extLst>
            </c:dLbl>
            <c:dLbl>
              <c:idx val="5"/>
              <c:tx>
                <c:rich>
                  <a:bodyPr/>
                  <a:lstStyle/>
                  <a:p>
                    <a:fld id="{7C313278-2240-48E1-B432-025D21644C10}"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9E1-44BF-851A-F7F75AAD6DEC}"/>
                </c:ext>
              </c:extLst>
            </c:dLbl>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Lit>
              <c:ptCount val="6"/>
              <c:pt idx="0">
                <c:v>Seitenteil Austausch</c:v>
              </c:pt>
              <c:pt idx="1">
                <c:v>Seitenteil Reparatur</c:v>
              </c:pt>
              <c:pt idx="2">
                <c:v>Stoßfänger Austausch</c:v>
              </c:pt>
              <c:pt idx="3">
                <c:v>Stoßfänger Reparatur</c:v>
              </c:pt>
              <c:pt idx="4">
                <c:v>Tür Austausch</c:v>
              </c:pt>
              <c:pt idx="5">
                <c:v>Tür Reparatur</c:v>
              </c:pt>
            </c:strLit>
          </c:cat>
          <c:val>
            <c:numRef>
              <c:f>'Ergebnisse leichtes Neuteil'!$B$31:$G$31</c:f>
              <c:numCache>
                <c:formatCode>General</c:formatCode>
                <c:ptCount val="6"/>
                <c:pt idx="0">
                  <c:v>77.332740883979056</c:v>
                </c:pt>
                <c:pt idx="1">
                  <c:v>51.451796087851058</c:v>
                </c:pt>
                <c:pt idx="2">
                  <c:v>80.65627961600768</c:v>
                </c:pt>
                <c:pt idx="3">
                  <c:v>60.622517652332903</c:v>
                </c:pt>
                <c:pt idx="4">
                  <c:v>202.5282862131248</c:v>
                </c:pt>
                <c:pt idx="5">
                  <c:v>86.750703793861035</c:v>
                </c:pt>
              </c:numCache>
            </c:numRef>
          </c:val>
          <c:extLst>
            <c:ext xmlns:c15="http://schemas.microsoft.com/office/drawing/2012/chart" uri="{02D57815-91ED-43cb-92C2-25804820EDAC}">
              <c15:datalabelsRange>
                <c15:f>'Ergebnisse leichtes Neuteil'!$B$26:$G$26</c15:f>
                <c15:dlblRangeCache>
                  <c:ptCount val="6"/>
                  <c:pt idx="0">
                    <c:v>77,3</c:v>
                  </c:pt>
                  <c:pt idx="1">
                    <c:v>51,5</c:v>
                  </c:pt>
                  <c:pt idx="2">
                    <c:v>80,7</c:v>
                  </c:pt>
                  <c:pt idx="3">
                    <c:v>60,6</c:v>
                  </c:pt>
                  <c:pt idx="4">
                    <c:v>202,5</c:v>
                  </c:pt>
                  <c:pt idx="5">
                    <c:v>86,8</c:v>
                  </c:pt>
                </c15:dlblRangeCache>
              </c15:datalabelsRange>
            </c:ext>
            <c:ext xmlns:c16="http://schemas.microsoft.com/office/drawing/2014/chart" uri="{C3380CC4-5D6E-409C-BE32-E72D297353CC}">
              <c16:uniqueId val="{00000007-79E1-44BF-851A-F7F75AAD6DEC}"/>
            </c:ext>
          </c:extLst>
        </c:ser>
        <c:ser>
          <c:idx val="2"/>
          <c:order val="2"/>
          <c:tx>
            <c:strRef>
              <c:f>'Ergebnisse leichtes Neuteil'!$A$29</c:f>
              <c:strCache>
                <c:ptCount val="1"/>
                <c:pt idx="0">
                  <c:v>Abweichung pos</c:v>
                </c:pt>
              </c:strCache>
            </c:strRef>
          </c:tx>
          <c:spPr>
            <a:solidFill>
              <a:srgbClr val="FF0000"/>
            </a:solidFill>
            <a:ln>
              <a:noFill/>
            </a:ln>
            <a:effectLst/>
          </c:spPr>
          <c:invertIfNegative val="0"/>
          <c:cat>
            <c:strLit>
              <c:ptCount val="6"/>
              <c:pt idx="0">
                <c:v>Seitenteil Austausch</c:v>
              </c:pt>
              <c:pt idx="1">
                <c:v>Seitenteil Reparatur</c:v>
              </c:pt>
              <c:pt idx="2">
                <c:v>Stoßfänger Austausch</c:v>
              </c:pt>
              <c:pt idx="3">
                <c:v>Stoßfänger Reparatur</c:v>
              </c:pt>
              <c:pt idx="4">
                <c:v>Tür Austausch</c:v>
              </c:pt>
              <c:pt idx="5">
                <c:v>Tür Reparatur</c:v>
              </c:pt>
            </c:strLit>
          </c:cat>
          <c:val>
            <c:numRef>
              <c:f>'Ergebnisse leichtes Neuteil'!$B$29:$G$29</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79E1-44BF-851A-F7F75AAD6DEC}"/>
            </c:ext>
          </c:extLst>
        </c:ser>
        <c:ser>
          <c:idx val="3"/>
          <c:order val="3"/>
          <c:tx>
            <c:strRef>
              <c:f>'Ergebnisse leichtes Neuteil'!$A$30</c:f>
              <c:strCache>
                <c:ptCount val="1"/>
                <c:pt idx="0">
                  <c:v>Abweichung neg</c:v>
                </c:pt>
              </c:strCache>
            </c:strRef>
          </c:tx>
          <c:spPr>
            <a:solidFill>
              <a:schemeClr val="accent1"/>
            </a:solidFill>
            <a:ln>
              <a:noFill/>
            </a:ln>
            <a:effectLst/>
          </c:spPr>
          <c:invertIfNegative val="0"/>
          <c:cat>
            <c:strLit>
              <c:ptCount val="6"/>
              <c:pt idx="0">
                <c:v>Seitenteil Austausch</c:v>
              </c:pt>
              <c:pt idx="1">
                <c:v>Seitenteil Reparatur</c:v>
              </c:pt>
              <c:pt idx="2">
                <c:v>Stoßfänger Austausch</c:v>
              </c:pt>
              <c:pt idx="3">
                <c:v>Stoßfänger Reparatur</c:v>
              </c:pt>
              <c:pt idx="4">
                <c:v>Tür Austausch</c:v>
              </c:pt>
              <c:pt idx="5">
                <c:v>Tür Reparatur</c:v>
              </c:pt>
            </c:strLit>
          </c:cat>
          <c:val>
            <c:numRef>
              <c:f>'Ergebnisse leichtes Neuteil'!$B$30:$G$30</c:f>
              <c:numCache>
                <c:formatCode>General</c:formatCode>
                <c:ptCount val="6"/>
                <c:pt idx="0">
                  <c:v>17.09539336562807</c:v>
                </c:pt>
                <c:pt idx="1">
                  <c:v>0</c:v>
                </c:pt>
                <c:pt idx="2">
                  <c:v>20.303618729719318</c:v>
                </c:pt>
                <c:pt idx="3">
                  <c:v>0</c:v>
                </c:pt>
                <c:pt idx="4">
                  <c:v>15.920307291646594</c:v>
                </c:pt>
                <c:pt idx="5">
                  <c:v>0</c:v>
                </c:pt>
              </c:numCache>
            </c:numRef>
          </c:val>
          <c:extLst>
            <c:ext xmlns:c16="http://schemas.microsoft.com/office/drawing/2014/chart" uri="{C3380CC4-5D6E-409C-BE32-E72D297353CC}">
              <c16:uniqueId val="{00000009-79E1-44BF-851A-F7F75AAD6DEC}"/>
            </c:ext>
          </c:extLst>
        </c:ser>
        <c:dLbls>
          <c:showLegendKey val="0"/>
          <c:showVal val="0"/>
          <c:showCatName val="0"/>
          <c:showSerName val="0"/>
          <c:showPercent val="0"/>
          <c:showBubbleSize val="0"/>
        </c:dLbls>
        <c:gapWidth val="250"/>
        <c:overlap val="100"/>
        <c:axId val="2132302976"/>
        <c:axId val="2132313792"/>
      </c:barChart>
      <c:lineChart>
        <c:grouping val="standard"/>
        <c:varyColors val="0"/>
        <c:ser>
          <c:idx val="4"/>
          <c:order val="4"/>
          <c:tx>
            <c:strRef>
              <c:f>'Ergebnisse leichtes Neuteil'!$A$33</c:f>
              <c:strCache>
                <c:ptCount val="1"/>
                <c:pt idx="0">
                  <c:v>Position Datenbeschriftung</c:v>
                </c:pt>
              </c:strCache>
            </c:strRef>
          </c:tx>
          <c:spPr>
            <a:ln w="25400" cap="rnd">
              <a:noFill/>
              <a:round/>
            </a:ln>
            <a:effectLst/>
          </c:spPr>
          <c:marker>
            <c:symbol val="none"/>
          </c:marker>
          <c:dLbls>
            <c:dLbl>
              <c:idx val="0"/>
              <c:tx>
                <c:rich>
                  <a:bodyPr/>
                  <a:lstStyle/>
                  <a:p>
                    <a:fld id="{7E8184D2-EAA7-4E54-BBBA-D2B479948BAB}"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79E1-44BF-851A-F7F75AAD6DEC}"/>
                </c:ext>
              </c:extLst>
            </c:dLbl>
            <c:dLbl>
              <c:idx val="1"/>
              <c:tx>
                <c:rich>
                  <a:bodyPr/>
                  <a:lstStyle/>
                  <a:p>
                    <a:fld id="{D6A20644-FE25-4399-A561-47958747AF7B}"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9E1-44BF-851A-F7F75AAD6DEC}"/>
                </c:ext>
              </c:extLst>
            </c:dLbl>
            <c:dLbl>
              <c:idx val="2"/>
              <c:tx>
                <c:rich>
                  <a:bodyPr/>
                  <a:lstStyle/>
                  <a:p>
                    <a:fld id="{4C2325FC-B681-487D-B38D-CF0A5D84B294}"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9E1-44BF-851A-F7F75AAD6DEC}"/>
                </c:ext>
              </c:extLst>
            </c:dLbl>
            <c:dLbl>
              <c:idx val="3"/>
              <c:tx>
                <c:rich>
                  <a:bodyPr/>
                  <a:lstStyle/>
                  <a:p>
                    <a:fld id="{D94C3194-8042-4391-A8CB-49383BF36F2B}"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9E1-44BF-851A-F7F75AAD6DEC}"/>
                </c:ext>
              </c:extLst>
            </c:dLbl>
            <c:dLbl>
              <c:idx val="4"/>
              <c:tx>
                <c:rich>
                  <a:bodyPr/>
                  <a:lstStyle/>
                  <a:p>
                    <a:fld id="{2BBF7A10-0D1E-46D0-BDD5-63F187253896}"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9E1-44BF-851A-F7F75AAD6DEC}"/>
                </c:ext>
              </c:extLst>
            </c:dLbl>
            <c:dLbl>
              <c:idx val="5"/>
              <c:tx>
                <c:rich>
                  <a:bodyPr/>
                  <a:lstStyle/>
                  <a:p>
                    <a:fld id="{F5E58E85-30B3-4186-977E-D4BD318CF650}"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9E1-44BF-851A-F7F75AAD6D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'Ergebnisse PV Anlage'!$B$24:$G$25</c:f>
              <c:multiLvlStrCache>
                <c:ptCount val="6"/>
                <c:lvl>
                  <c:pt idx="0">
                    <c:v>Austausch</c:v>
                  </c:pt>
                  <c:pt idx="1">
                    <c:v>Reparatur</c:v>
                  </c:pt>
                  <c:pt idx="2">
                    <c:v>Austausch</c:v>
                  </c:pt>
                  <c:pt idx="3">
                    <c:v>Reparatur</c:v>
                  </c:pt>
                  <c:pt idx="4">
                    <c:v>Austausch</c:v>
                  </c:pt>
                  <c:pt idx="5">
                    <c:v>Reparatur</c:v>
                  </c:pt>
                </c:lvl>
                <c:lvl>
                  <c:pt idx="0">
                    <c:v>Autotür</c:v>
                  </c:pt>
                  <c:pt idx="2">
                    <c:v>Stoßfänger</c:v>
                  </c:pt>
                  <c:pt idx="4">
                    <c:v>Seitenteil</c:v>
                  </c:pt>
                </c:lvl>
              </c:multiLvlStrCache>
            </c:multiLvlStrRef>
          </c:cat>
          <c:val>
            <c:numRef>
              <c:f>'Ergebnisse leichtes Neuteil'!$B$33:$G$33</c:f>
              <c:numCache>
                <c:formatCode>0.0</c:formatCode>
                <c:ptCount val="6"/>
                <c:pt idx="0">
                  <c:v>99.149540962087485</c:v>
                </c:pt>
                <c:pt idx="1">
                  <c:v>54.024385892243615</c:v>
                </c:pt>
                <c:pt idx="2">
                  <c:v>106.00789326301334</c:v>
                </c:pt>
                <c:pt idx="3">
                  <c:v>63.653643534949545</c:v>
                </c:pt>
                <c:pt idx="4">
                  <c:v>229.37102318000996</c:v>
                </c:pt>
                <c:pt idx="5">
                  <c:v>91.088238983554092</c:v>
                </c:pt>
              </c:numCache>
            </c:numRef>
          </c:val>
          <c:smooth val="0"/>
          <c:extLst>
            <c:ext xmlns:c15="http://schemas.microsoft.com/office/drawing/2012/chart" uri="{02D57815-91ED-43cb-92C2-25804820EDAC}">
              <c15:datalabelsRange>
                <c15:f>'Ergebnisse leichtes Neuteil'!$B$32:$G$32</c15:f>
                <c15:dlblRangeCache>
                  <c:ptCount val="6"/>
                  <c:pt idx="0">
                    <c:v>-18,1%</c:v>
                  </c:pt>
                  <c:pt idx="1">
                    <c:v>0,0%</c:v>
                  </c:pt>
                  <c:pt idx="2">
                    <c:v>-20,1%</c:v>
                  </c:pt>
                  <c:pt idx="3">
                    <c:v>0,0%</c:v>
                  </c:pt>
                  <c:pt idx="4">
                    <c:v>-7,3%</c:v>
                  </c:pt>
                  <c:pt idx="5">
                    <c:v>0,0%</c:v>
                  </c:pt>
                </c15:dlblRangeCache>
              </c15:datalabelsRange>
            </c:ext>
            <c:ext xmlns:c16="http://schemas.microsoft.com/office/drawing/2014/chart" uri="{C3380CC4-5D6E-409C-BE32-E72D297353CC}">
              <c16:uniqueId val="{00000010-79E1-44BF-851A-F7F75AAD6DEC}"/>
            </c:ext>
          </c:extLst>
        </c:ser>
        <c:dLbls>
          <c:showLegendKey val="0"/>
          <c:showVal val="0"/>
          <c:showCatName val="0"/>
          <c:showSerName val="0"/>
          <c:showPercent val="0"/>
          <c:showBubbleSize val="0"/>
        </c:dLbls>
        <c:marker val="1"/>
        <c:smooth val="0"/>
        <c:axId val="2132302976"/>
        <c:axId val="2132313792"/>
      </c:lineChart>
      <c:catAx>
        <c:axId val="178787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7874224"/>
        <c:crosses val="autoZero"/>
        <c:auto val="1"/>
        <c:lblAlgn val="ctr"/>
        <c:lblOffset val="100"/>
        <c:noMultiLvlLbl val="0"/>
      </c:catAx>
      <c:valAx>
        <c:axId val="1787874224"/>
        <c:scaling>
          <c:orientation val="minMax"/>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de-DE" sz="1800" b="0" i="0" baseline="0">
                    <a:effectLst/>
                  </a:rPr>
                  <a:t>kgCO</a:t>
                </a:r>
                <a:r>
                  <a:rPr lang="de-DE" sz="1800" b="0" i="0" baseline="-25000">
                    <a:effectLst/>
                  </a:rPr>
                  <a:t>2</a:t>
                </a:r>
                <a:r>
                  <a:rPr lang="de-DE" sz="1800" b="0" i="0" baseline="0">
                    <a:effectLst/>
                  </a:rPr>
                  <a:t>Äq./instangesetzter Schaden</a:t>
                </a:r>
                <a:endParaRPr lang="de-DE">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7877968"/>
        <c:crosses val="autoZero"/>
        <c:crossBetween val="between"/>
      </c:valAx>
      <c:valAx>
        <c:axId val="2132313792"/>
        <c:scaling>
          <c:orientation val="minMax"/>
        </c:scaling>
        <c:delete val="1"/>
        <c:axPos val="r"/>
        <c:numFmt formatCode="General" sourceLinked="1"/>
        <c:majorTickMark val="out"/>
        <c:minorTickMark val="none"/>
        <c:tickLblPos val="nextTo"/>
        <c:crossAx val="2132302976"/>
        <c:crosses val="max"/>
        <c:crossBetween val="between"/>
      </c:valAx>
      <c:catAx>
        <c:axId val="2132302976"/>
        <c:scaling>
          <c:orientation val="minMax"/>
        </c:scaling>
        <c:delete val="1"/>
        <c:axPos val="b"/>
        <c:numFmt formatCode="General" sourceLinked="1"/>
        <c:majorTickMark val="out"/>
        <c:minorTickMark val="none"/>
        <c:tickLblPos val="nextTo"/>
        <c:crossAx val="2132313792"/>
        <c:crosses val="autoZero"/>
        <c:auto val="1"/>
        <c:lblAlgn val="ctr"/>
        <c:lblOffset val="100"/>
        <c:noMultiLvlLbl val="0"/>
      </c:catAx>
      <c:spPr>
        <a:noFill/>
        <a:ln>
          <a:solidFill>
            <a:schemeClr val="bg1">
              <a:lumMod val="7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'Ergebnisse Aluminium Tür'!$A$27</c:f>
              <c:strCache>
                <c:ptCount val="1"/>
                <c:pt idx="0">
                  <c:v>Basis</c:v>
                </c:pt>
              </c:strCache>
            </c:strRef>
          </c:tx>
          <c:spPr>
            <a:solidFill>
              <a:schemeClr val="accent3"/>
            </a:solidFill>
            <a:ln>
              <a:noFill/>
            </a:ln>
            <a:effectLst/>
          </c:spPr>
          <c:invertIfNegative val="0"/>
          <c:cat>
            <c:multiLvlStrRef>
              <c:f>'Ergebnisse Aluminium Tür'!$B$24:$C$25</c:f>
              <c:multiLvlStrCache>
                <c:ptCount val="2"/>
                <c:lvl>
                  <c:pt idx="0">
                    <c:v>Austausch</c:v>
                  </c:pt>
                  <c:pt idx="1">
                    <c:v>Reparatur</c:v>
                  </c:pt>
                </c:lvl>
                <c:lvl>
                  <c:pt idx="0">
                    <c:v>Autotür</c:v>
                  </c:pt>
                </c:lvl>
              </c:multiLvlStrCache>
            </c:multiLvlStrRef>
          </c:cat>
          <c:val>
            <c:numRef>
              <c:f>'Ergebnisse Aluminium Tür'!$B$27:$C$27</c:f>
              <c:numCache>
                <c:formatCode>0.00</c:formatCode>
                <c:ptCount val="2"/>
                <c:pt idx="0">
                  <c:v>94.428134249607126</c:v>
                </c:pt>
                <c:pt idx="1">
                  <c:v>51.451796087851058</c:v>
                </c:pt>
              </c:numCache>
            </c:numRef>
          </c:val>
          <c:extLst>
            <c:ext xmlns:c16="http://schemas.microsoft.com/office/drawing/2014/chart" uri="{C3380CC4-5D6E-409C-BE32-E72D297353CC}">
              <c16:uniqueId val="{00000000-B7F2-452F-A678-57C76186D7EC}"/>
            </c:ext>
          </c:extLst>
        </c:ser>
        <c:dLbls>
          <c:showLegendKey val="0"/>
          <c:showVal val="0"/>
          <c:showCatName val="0"/>
          <c:showSerName val="0"/>
          <c:showPercent val="0"/>
          <c:showBubbleSize val="0"/>
        </c:dLbls>
        <c:gapWidth val="150"/>
        <c:overlap val="100"/>
        <c:axId val="1787877968"/>
        <c:axId val="1787874224"/>
      </c:barChart>
      <c:barChart>
        <c:barDir val="col"/>
        <c:grouping val="stacked"/>
        <c:varyColors val="0"/>
        <c:ser>
          <c:idx val="1"/>
          <c:order val="1"/>
          <c:tx>
            <c:strRef>
              <c:f>'Ergebnisse Aluminium Tür'!$A$31</c:f>
              <c:strCache>
                <c:ptCount val="1"/>
                <c:pt idx="0">
                  <c:v>Transparent</c:v>
                </c:pt>
              </c:strCache>
            </c:strRef>
          </c:tx>
          <c:spPr>
            <a:solidFill>
              <a:schemeClr val="accent3"/>
            </a:solidFill>
            <a:ln>
              <a:noFill/>
            </a:ln>
            <a:effectLst/>
          </c:spPr>
          <c:invertIfNegative val="0"/>
          <c:dLbls>
            <c:dLbl>
              <c:idx val="0"/>
              <c:tx>
                <c:rich>
                  <a:bodyPr/>
                  <a:lstStyle/>
                  <a:p>
                    <a:fld id="{596D4549-B981-4CA6-83C2-BC132DE97F45}"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B7F2-452F-A678-57C76186D7EC}"/>
                </c:ext>
              </c:extLst>
            </c:dLbl>
            <c:dLbl>
              <c:idx val="1"/>
              <c:tx>
                <c:rich>
                  <a:bodyPr/>
                  <a:lstStyle/>
                  <a:p>
                    <a:fld id="{DF293D0A-0BCA-47F7-A921-B848FB4E2544}"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7F2-452F-A678-57C76186D7EC}"/>
                </c:ext>
              </c:extLst>
            </c:dLbl>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Lit>
              <c:ptCount val="6"/>
              <c:pt idx="0">
                <c:v>Seitenteil Austausch</c:v>
              </c:pt>
              <c:pt idx="1">
                <c:v>Seitenteil Reparatur</c:v>
              </c:pt>
              <c:pt idx="2">
                <c:v>Stoßfänger Austausch</c:v>
              </c:pt>
              <c:pt idx="3">
                <c:v>Stoßfänger Reparatur</c:v>
              </c:pt>
              <c:pt idx="4">
                <c:v>Tür Austausch</c:v>
              </c:pt>
              <c:pt idx="5">
                <c:v>Tür Reparatur</c:v>
              </c:pt>
            </c:strLit>
          </c:cat>
          <c:val>
            <c:numRef>
              <c:f>'Ergebnisse Aluminium Tür'!$B$31:$C$31</c:f>
              <c:numCache>
                <c:formatCode>General</c:formatCode>
                <c:ptCount val="2"/>
                <c:pt idx="0">
                  <c:v>94.428134249607126</c:v>
                </c:pt>
                <c:pt idx="1">
                  <c:v>51.451796087851058</c:v>
                </c:pt>
              </c:numCache>
            </c:numRef>
          </c:val>
          <c:extLst>
            <c:ext xmlns:c15="http://schemas.microsoft.com/office/drawing/2012/chart" uri="{02D57815-91ED-43cb-92C2-25804820EDAC}">
              <c15:datalabelsRange>
                <c15:f>'Ergebnisse Aluminium Tür'!$B$26:$C$26</c15:f>
                <c15:dlblRangeCache>
                  <c:ptCount val="2"/>
                  <c:pt idx="0">
                    <c:v>186,7</c:v>
                  </c:pt>
                  <c:pt idx="1">
                    <c:v>51,5</c:v>
                  </c:pt>
                </c15:dlblRangeCache>
              </c15:datalabelsRange>
            </c:ext>
            <c:ext xmlns:c16="http://schemas.microsoft.com/office/drawing/2014/chart" uri="{C3380CC4-5D6E-409C-BE32-E72D297353CC}">
              <c16:uniqueId val="{00000003-B7F2-452F-A678-57C76186D7EC}"/>
            </c:ext>
          </c:extLst>
        </c:ser>
        <c:ser>
          <c:idx val="2"/>
          <c:order val="2"/>
          <c:tx>
            <c:strRef>
              <c:f>'Ergebnisse Aluminium Tür'!$A$29</c:f>
              <c:strCache>
                <c:ptCount val="1"/>
                <c:pt idx="0">
                  <c:v>Abweichung pos</c:v>
                </c:pt>
              </c:strCache>
            </c:strRef>
          </c:tx>
          <c:spPr>
            <a:solidFill>
              <a:srgbClr val="FF0000"/>
            </a:solidFill>
            <a:ln>
              <a:noFill/>
            </a:ln>
            <a:effectLst/>
          </c:spPr>
          <c:invertIfNegative val="0"/>
          <c:cat>
            <c:strLit>
              <c:ptCount val="6"/>
              <c:pt idx="0">
                <c:v>Seitenteil Austausch</c:v>
              </c:pt>
              <c:pt idx="1">
                <c:v>Seitenteil Reparatur</c:v>
              </c:pt>
              <c:pt idx="2">
                <c:v>Stoßfänger Austausch</c:v>
              </c:pt>
              <c:pt idx="3">
                <c:v>Stoßfänger Reparatur</c:v>
              </c:pt>
              <c:pt idx="4">
                <c:v>Tür Austausch</c:v>
              </c:pt>
              <c:pt idx="5">
                <c:v>Tür Reparatur</c:v>
              </c:pt>
            </c:strLit>
          </c:cat>
          <c:val>
            <c:numRef>
              <c:f>'Ergebnisse Aluminium Tür'!$B$29:$C$29</c:f>
              <c:numCache>
                <c:formatCode>General</c:formatCode>
                <c:ptCount val="2"/>
                <c:pt idx="0">
                  <c:v>92.293383028622287</c:v>
                </c:pt>
                <c:pt idx="1">
                  <c:v>0</c:v>
                </c:pt>
              </c:numCache>
            </c:numRef>
          </c:val>
          <c:extLst>
            <c:ext xmlns:c16="http://schemas.microsoft.com/office/drawing/2014/chart" uri="{C3380CC4-5D6E-409C-BE32-E72D297353CC}">
              <c16:uniqueId val="{00000004-B7F2-452F-A678-57C76186D7EC}"/>
            </c:ext>
          </c:extLst>
        </c:ser>
        <c:ser>
          <c:idx val="3"/>
          <c:order val="3"/>
          <c:tx>
            <c:strRef>
              <c:f>'Ergebnisse Aluminium Tür'!$A$30</c:f>
              <c:strCache>
                <c:ptCount val="1"/>
                <c:pt idx="0">
                  <c:v>Abweichung neg</c:v>
                </c:pt>
              </c:strCache>
            </c:strRef>
          </c:tx>
          <c:spPr>
            <a:solidFill>
              <a:schemeClr val="accent1"/>
            </a:solidFill>
            <a:ln>
              <a:noFill/>
            </a:ln>
            <a:effectLst/>
          </c:spPr>
          <c:invertIfNegative val="0"/>
          <c:cat>
            <c:strLit>
              <c:ptCount val="6"/>
              <c:pt idx="0">
                <c:v>Seitenteil Austausch</c:v>
              </c:pt>
              <c:pt idx="1">
                <c:v>Seitenteil Reparatur</c:v>
              </c:pt>
              <c:pt idx="2">
                <c:v>Stoßfänger Austausch</c:v>
              </c:pt>
              <c:pt idx="3">
                <c:v>Stoßfänger Reparatur</c:v>
              </c:pt>
              <c:pt idx="4">
                <c:v>Tür Austausch</c:v>
              </c:pt>
              <c:pt idx="5">
                <c:v>Tür Reparatur</c:v>
              </c:pt>
            </c:strLit>
          </c:cat>
          <c:val>
            <c:numRef>
              <c:f>'Ergebnisse Aluminium Tür'!$B$30:$C$30</c:f>
              <c:numCache>
                <c:formatCode>General</c:formatCode>
                <c:ptCount val="2"/>
                <c:pt idx="0">
                  <c:v>0</c:v>
                </c:pt>
                <c:pt idx="1">
                  <c:v>0</c:v>
                </c:pt>
              </c:numCache>
            </c:numRef>
          </c:val>
          <c:extLst>
            <c:ext xmlns:c16="http://schemas.microsoft.com/office/drawing/2014/chart" uri="{C3380CC4-5D6E-409C-BE32-E72D297353CC}">
              <c16:uniqueId val="{00000005-B7F2-452F-A678-57C76186D7EC}"/>
            </c:ext>
          </c:extLst>
        </c:ser>
        <c:dLbls>
          <c:showLegendKey val="0"/>
          <c:showVal val="0"/>
          <c:showCatName val="0"/>
          <c:showSerName val="0"/>
          <c:showPercent val="0"/>
          <c:showBubbleSize val="0"/>
        </c:dLbls>
        <c:gapWidth val="250"/>
        <c:overlap val="100"/>
        <c:axId val="2132302976"/>
        <c:axId val="2132313792"/>
      </c:barChart>
      <c:lineChart>
        <c:grouping val="standard"/>
        <c:varyColors val="0"/>
        <c:ser>
          <c:idx val="4"/>
          <c:order val="4"/>
          <c:tx>
            <c:strRef>
              <c:f>'Ergebnisse Aluminium Tür'!$A$33</c:f>
              <c:strCache>
                <c:ptCount val="1"/>
                <c:pt idx="0">
                  <c:v>Position Datenbeschriftung</c:v>
                </c:pt>
              </c:strCache>
            </c:strRef>
          </c:tx>
          <c:spPr>
            <a:ln w="25400" cap="rnd">
              <a:noFill/>
              <a:round/>
            </a:ln>
            <a:effectLst/>
          </c:spPr>
          <c:marker>
            <c:symbol val="none"/>
          </c:marker>
          <c:dLbls>
            <c:dLbl>
              <c:idx val="0"/>
              <c:tx>
                <c:rich>
                  <a:bodyPr/>
                  <a:lstStyle/>
                  <a:p>
                    <a:fld id="{057B6067-DD2C-4BFE-9A49-7F24B9586E26}"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7F2-452F-A678-57C76186D7EC}"/>
                </c:ext>
              </c:extLst>
            </c:dLbl>
            <c:dLbl>
              <c:idx val="1"/>
              <c:tx>
                <c:rich>
                  <a:bodyPr/>
                  <a:lstStyle/>
                  <a:p>
                    <a:fld id="{8E545410-21DF-4DD2-A170-B924E2E92697}"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7F2-452F-A678-57C76186D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'Ergebnisse Aluminium Tür'!$B$24:$C$25</c:f>
              <c:multiLvlStrCache>
                <c:ptCount val="2"/>
                <c:lvl>
                  <c:pt idx="0">
                    <c:v>Austausch</c:v>
                  </c:pt>
                  <c:pt idx="1">
                    <c:v>Reparatur</c:v>
                  </c:pt>
                </c:lvl>
                <c:lvl>
                  <c:pt idx="0">
                    <c:v>Autotür</c:v>
                  </c:pt>
                </c:lvl>
              </c:multiLvlStrCache>
            </c:multiLvlStrRef>
          </c:cat>
          <c:val>
            <c:numRef>
              <c:f>'Ergebnisse Aluminium Tür'!$B$33:$C$33</c:f>
              <c:numCache>
                <c:formatCode>0.0</c:formatCode>
                <c:ptCount val="2"/>
                <c:pt idx="0">
                  <c:v>196.05759314214089</c:v>
                </c:pt>
                <c:pt idx="1">
                  <c:v>54.024385892243615</c:v>
                </c:pt>
              </c:numCache>
            </c:numRef>
          </c:val>
          <c:smooth val="0"/>
          <c:extLst>
            <c:ext xmlns:c15="http://schemas.microsoft.com/office/drawing/2012/chart" uri="{02D57815-91ED-43cb-92C2-25804820EDAC}">
              <c15:datalabelsRange>
                <c15:f>'Ergebnisse Aluminium Tür'!$B$32:$C$32</c15:f>
                <c15:dlblRangeCache>
                  <c:ptCount val="2"/>
                  <c:pt idx="0">
                    <c:v>97,7%</c:v>
                  </c:pt>
                  <c:pt idx="1">
                    <c:v>0,0%</c:v>
                  </c:pt>
                </c15:dlblRangeCache>
              </c15:datalabelsRange>
            </c:ext>
            <c:ext xmlns:c16="http://schemas.microsoft.com/office/drawing/2014/chart" uri="{C3380CC4-5D6E-409C-BE32-E72D297353CC}">
              <c16:uniqueId val="{00000008-B7F2-452F-A678-57C76186D7EC}"/>
            </c:ext>
          </c:extLst>
        </c:ser>
        <c:dLbls>
          <c:showLegendKey val="0"/>
          <c:showVal val="0"/>
          <c:showCatName val="0"/>
          <c:showSerName val="0"/>
          <c:showPercent val="0"/>
          <c:showBubbleSize val="0"/>
        </c:dLbls>
        <c:marker val="1"/>
        <c:smooth val="0"/>
        <c:axId val="2132302976"/>
        <c:axId val="2132313792"/>
      </c:lineChart>
      <c:catAx>
        <c:axId val="178787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7874224"/>
        <c:crosses val="autoZero"/>
        <c:auto val="1"/>
        <c:lblAlgn val="ctr"/>
        <c:lblOffset val="100"/>
        <c:noMultiLvlLbl val="0"/>
      </c:catAx>
      <c:valAx>
        <c:axId val="1787874224"/>
        <c:scaling>
          <c:orientation val="minMax"/>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de-DE" sz="1800" b="0" i="0" baseline="0">
                    <a:effectLst/>
                  </a:rPr>
                  <a:t>kgCO</a:t>
                </a:r>
                <a:r>
                  <a:rPr lang="de-DE" sz="1800" b="0" i="0" baseline="-25000">
                    <a:effectLst/>
                  </a:rPr>
                  <a:t>2</a:t>
                </a:r>
                <a:r>
                  <a:rPr lang="de-DE" sz="1800" b="0" i="0" baseline="0">
                    <a:effectLst/>
                  </a:rPr>
                  <a:t>Äq./instangesetzter Schaden</a:t>
                </a:r>
                <a:endParaRPr lang="de-DE">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7877968"/>
        <c:crosses val="autoZero"/>
        <c:crossBetween val="between"/>
      </c:valAx>
      <c:valAx>
        <c:axId val="2132313792"/>
        <c:scaling>
          <c:orientation val="minMax"/>
        </c:scaling>
        <c:delete val="1"/>
        <c:axPos val="r"/>
        <c:numFmt formatCode="General" sourceLinked="1"/>
        <c:majorTickMark val="out"/>
        <c:minorTickMark val="none"/>
        <c:tickLblPos val="nextTo"/>
        <c:crossAx val="2132302976"/>
        <c:crosses val="max"/>
        <c:crossBetween val="between"/>
      </c:valAx>
      <c:catAx>
        <c:axId val="2132302976"/>
        <c:scaling>
          <c:orientation val="minMax"/>
        </c:scaling>
        <c:delete val="1"/>
        <c:axPos val="b"/>
        <c:numFmt formatCode="General" sourceLinked="1"/>
        <c:majorTickMark val="out"/>
        <c:minorTickMark val="none"/>
        <c:tickLblPos val="nextTo"/>
        <c:crossAx val="2132313792"/>
        <c:crosses val="autoZero"/>
        <c:auto val="1"/>
        <c:lblAlgn val="ctr"/>
        <c:lblOffset val="100"/>
        <c:noMultiLvlLbl val="0"/>
      </c:catAx>
      <c:spPr>
        <a:noFill/>
        <a:ln>
          <a:solidFill>
            <a:schemeClr val="bg1">
              <a:lumMod val="7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'Ergebnisse Recycletes Neuteil'!$A$27</c:f>
              <c:strCache>
                <c:ptCount val="1"/>
                <c:pt idx="0">
                  <c:v>Basis</c:v>
                </c:pt>
              </c:strCache>
            </c:strRef>
          </c:tx>
          <c:spPr>
            <a:solidFill>
              <a:schemeClr val="accent3"/>
            </a:solidFill>
            <a:ln>
              <a:noFill/>
            </a:ln>
            <a:effectLst/>
          </c:spPr>
          <c:invertIfNegative val="0"/>
          <c:cat>
            <c:multiLvlStrRef>
              <c:f>'Ergebnisse Recycletes Neuteil'!$B$24:$E$25</c:f>
              <c:multiLvlStrCache>
                <c:ptCount val="4"/>
                <c:lvl>
                  <c:pt idx="0">
                    <c:v>Austausch</c:v>
                  </c:pt>
                  <c:pt idx="1">
                    <c:v>Reparatur</c:v>
                  </c:pt>
                  <c:pt idx="2">
                    <c:v>Austausch</c:v>
                  </c:pt>
                  <c:pt idx="3">
                    <c:v>Reparatur</c:v>
                  </c:pt>
                </c:lvl>
                <c:lvl>
                  <c:pt idx="0">
                    <c:v>Autotür</c:v>
                  </c:pt>
                  <c:pt idx="2">
                    <c:v>Stoßfänger</c:v>
                  </c:pt>
                </c:lvl>
              </c:multiLvlStrCache>
            </c:multiLvlStrRef>
          </c:cat>
          <c:val>
            <c:numRef>
              <c:f>'Ergebnisse Recycletes Neuteil'!$B$27:$E$27</c:f>
              <c:numCache>
                <c:formatCode>0.0</c:formatCode>
                <c:ptCount val="4"/>
                <c:pt idx="0">
                  <c:v>94.428134249607126</c:v>
                </c:pt>
                <c:pt idx="1">
                  <c:v>51.451796087851058</c:v>
                </c:pt>
                <c:pt idx="2">
                  <c:v>100.959898345727</c:v>
                </c:pt>
                <c:pt idx="3">
                  <c:v>60.622517652332903</c:v>
                </c:pt>
              </c:numCache>
            </c:numRef>
          </c:val>
          <c:extLst>
            <c:ext xmlns:c16="http://schemas.microsoft.com/office/drawing/2014/chart" uri="{C3380CC4-5D6E-409C-BE32-E72D297353CC}">
              <c16:uniqueId val="{00000000-83BA-4D9D-8B01-BD94F8C8E08C}"/>
            </c:ext>
          </c:extLst>
        </c:ser>
        <c:dLbls>
          <c:showLegendKey val="0"/>
          <c:showVal val="0"/>
          <c:showCatName val="0"/>
          <c:showSerName val="0"/>
          <c:showPercent val="0"/>
          <c:showBubbleSize val="0"/>
        </c:dLbls>
        <c:gapWidth val="150"/>
        <c:overlap val="100"/>
        <c:axId val="1787877968"/>
        <c:axId val="1787874224"/>
      </c:barChart>
      <c:barChart>
        <c:barDir val="col"/>
        <c:grouping val="stacked"/>
        <c:varyColors val="0"/>
        <c:ser>
          <c:idx val="1"/>
          <c:order val="1"/>
          <c:tx>
            <c:strRef>
              <c:f>'Ergebnisse Recycletes Neuteil'!$A$31</c:f>
              <c:strCache>
                <c:ptCount val="1"/>
                <c:pt idx="0">
                  <c:v>Transparent</c:v>
                </c:pt>
              </c:strCache>
            </c:strRef>
          </c:tx>
          <c:spPr>
            <a:solidFill>
              <a:schemeClr val="accent3"/>
            </a:solidFill>
            <a:ln>
              <a:noFill/>
            </a:ln>
            <a:effectLst/>
          </c:spPr>
          <c:invertIfNegative val="0"/>
          <c:dLbls>
            <c:dLbl>
              <c:idx val="0"/>
              <c:tx>
                <c:rich>
                  <a:bodyPr/>
                  <a:lstStyle/>
                  <a:p>
                    <a:fld id="{D01451EA-36DA-4967-9CE4-8442B1CA7D3B}"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3BA-4D9D-8B01-BD94F8C8E08C}"/>
                </c:ext>
              </c:extLst>
            </c:dLbl>
            <c:dLbl>
              <c:idx val="1"/>
              <c:tx>
                <c:rich>
                  <a:bodyPr/>
                  <a:lstStyle/>
                  <a:p>
                    <a:fld id="{5B7A01E5-8EE9-4A78-9254-15B89C0A3413}"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3BA-4D9D-8B01-BD94F8C8E08C}"/>
                </c:ext>
              </c:extLst>
            </c:dLbl>
            <c:dLbl>
              <c:idx val="2"/>
              <c:tx>
                <c:rich>
                  <a:bodyPr/>
                  <a:lstStyle/>
                  <a:p>
                    <a:fld id="{50BC2E90-1318-4D5B-878A-9F946F7ED5ED}"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3BA-4D9D-8B01-BD94F8C8E08C}"/>
                </c:ext>
              </c:extLst>
            </c:dLbl>
            <c:dLbl>
              <c:idx val="3"/>
              <c:tx>
                <c:rich>
                  <a:bodyPr/>
                  <a:lstStyle/>
                  <a:p>
                    <a:fld id="{16CB63EA-0CB7-459D-8AB7-2E2D08BF9225}"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3BA-4D9D-8B01-BD94F8C8E08C}"/>
                </c:ext>
              </c:extLst>
            </c:dLbl>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Lit>
              <c:ptCount val="6"/>
              <c:pt idx="0">
                <c:v>Seitenteil Austausch</c:v>
              </c:pt>
              <c:pt idx="1">
                <c:v>Seitenteil Reparatur</c:v>
              </c:pt>
              <c:pt idx="2">
                <c:v>Stoßfänger Austausch</c:v>
              </c:pt>
              <c:pt idx="3">
                <c:v>Stoßfänger Reparatur</c:v>
              </c:pt>
              <c:pt idx="4">
                <c:v>Tür Austausch</c:v>
              </c:pt>
              <c:pt idx="5">
                <c:v>Tür Reparatur</c:v>
              </c:pt>
            </c:strLit>
          </c:cat>
          <c:val>
            <c:numRef>
              <c:f>'Ergebnisse Recycletes Neuteil'!$B$31:$E$31</c:f>
              <c:numCache>
                <c:formatCode>General</c:formatCode>
                <c:ptCount val="4"/>
                <c:pt idx="0">
                  <c:v>56.714944857550599</c:v>
                </c:pt>
                <c:pt idx="1">
                  <c:v>51.451796087851058</c:v>
                </c:pt>
                <c:pt idx="2">
                  <c:v>92.10207439347333</c:v>
                </c:pt>
                <c:pt idx="3">
                  <c:v>60.622517652332903</c:v>
                </c:pt>
              </c:numCache>
            </c:numRef>
          </c:val>
          <c:extLst>
            <c:ext xmlns:c15="http://schemas.microsoft.com/office/drawing/2012/chart" uri="{02D57815-91ED-43cb-92C2-25804820EDAC}">
              <c15:datalabelsRange>
                <c15:f>'Ergebnisse Recycletes Neuteil'!$B$26:$E$26</c15:f>
                <c15:dlblRangeCache>
                  <c:ptCount val="4"/>
                  <c:pt idx="0">
                    <c:v>56,7</c:v>
                  </c:pt>
                  <c:pt idx="1">
                    <c:v>51,5</c:v>
                  </c:pt>
                  <c:pt idx="2">
                    <c:v>92,1</c:v>
                  </c:pt>
                  <c:pt idx="3">
                    <c:v>60,6</c:v>
                  </c:pt>
                </c15:dlblRangeCache>
              </c15:datalabelsRange>
            </c:ext>
            <c:ext xmlns:c16="http://schemas.microsoft.com/office/drawing/2014/chart" uri="{C3380CC4-5D6E-409C-BE32-E72D297353CC}">
              <c16:uniqueId val="{00000005-83BA-4D9D-8B01-BD94F8C8E08C}"/>
            </c:ext>
          </c:extLst>
        </c:ser>
        <c:ser>
          <c:idx val="2"/>
          <c:order val="2"/>
          <c:tx>
            <c:strRef>
              <c:f>'Ergebnisse Recycletes Neuteil'!$A$29</c:f>
              <c:strCache>
                <c:ptCount val="1"/>
                <c:pt idx="0">
                  <c:v>Abweichung pos</c:v>
                </c:pt>
              </c:strCache>
            </c:strRef>
          </c:tx>
          <c:spPr>
            <a:solidFill>
              <a:srgbClr val="FF0000"/>
            </a:solidFill>
            <a:ln>
              <a:noFill/>
            </a:ln>
            <a:effectLst/>
          </c:spPr>
          <c:invertIfNegative val="0"/>
          <c:cat>
            <c:strLit>
              <c:ptCount val="6"/>
              <c:pt idx="0">
                <c:v>Seitenteil Austausch</c:v>
              </c:pt>
              <c:pt idx="1">
                <c:v>Seitenteil Reparatur</c:v>
              </c:pt>
              <c:pt idx="2">
                <c:v>Stoßfänger Austausch</c:v>
              </c:pt>
              <c:pt idx="3">
                <c:v>Stoßfänger Reparatur</c:v>
              </c:pt>
              <c:pt idx="4">
                <c:v>Tür Austausch</c:v>
              </c:pt>
              <c:pt idx="5">
                <c:v>Tür Reparatur</c:v>
              </c:pt>
            </c:strLit>
          </c:cat>
          <c:val>
            <c:numRef>
              <c:f>'Ergebnisse Recycletes Neuteil'!$B$29:$E$29</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6-83BA-4D9D-8B01-BD94F8C8E08C}"/>
            </c:ext>
          </c:extLst>
        </c:ser>
        <c:ser>
          <c:idx val="3"/>
          <c:order val="3"/>
          <c:tx>
            <c:strRef>
              <c:f>'Ergebnisse Recycletes Neuteil'!$A$30</c:f>
              <c:strCache>
                <c:ptCount val="1"/>
                <c:pt idx="0">
                  <c:v>Abweichung neg</c:v>
                </c:pt>
              </c:strCache>
            </c:strRef>
          </c:tx>
          <c:spPr>
            <a:solidFill>
              <a:schemeClr val="accent1"/>
            </a:solidFill>
            <a:ln>
              <a:noFill/>
            </a:ln>
            <a:effectLst/>
          </c:spPr>
          <c:invertIfNegative val="0"/>
          <c:cat>
            <c:strLit>
              <c:ptCount val="6"/>
              <c:pt idx="0">
                <c:v>Seitenteil Austausch</c:v>
              </c:pt>
              <c:pt idx="1">
                <c:v>Seitenteil Reparatur</c:v>
              </c:pt>
              <c:pt idx="2">
                <c:v>Stoßfänger Austausch</c:v>
              </c:pt>
              <c:pt idx="3">
                <c:v>Stoßfänger Reparatur</c:v>
              </c:pt>
              <c:pt idx="4">
                <c:v>Tür Austausch</c:v>
              </c:pt>
              <c:pt idx="5">
                <c:v>Tür Reparatur</c:v>
              </c:pt>
            </c:strLit>
          </c:cat>
          <c:val>
            <c:numRef>
              <c:f>'Ergebnisse Recycletes Neuteil'!$B$30:$E$30</c:f>
              <c:numCache>
                <c:formatCode>General</c:formatCode>
                <c:ptCount val="4"/>
                <c:pt idx="0">
                  <c:v>37.713189392056528</c:v>
                </c:pt>
                <c:pt idx="1">
                  <c:v>0</c:v>
                </c:pt>
                <c:pt idx="2">
                  <c:v>8.8578239522536677</c:v>
                </c:pt>
                <c:pt idx="3">
                  <c:v>0</c:v>
                </c:pt>
              </c:numCache>
            </c:numRef>
          </c:val>
          <c:extLst>
            <c:ext xmlns:c16="http://schemas.microsoft.com/office/drawing/2014/chart" uri="{C3380CC4-5D6E-409C-BE32-E72D297353CC}">
              <c16:uniqueId val="{00000007-83BA-4D9D-8B01-BD94F8C8E08C}"/>
            </c:ext>
          </c:extLst>
        </c:ser>
        <c:dLbls>
          <c:showLegendKey val="0"/>
          <c:showVal val="0"/>
          <c:showCatName val="0"/>
          <c:showSerName val="0"/>
          <c:showPercent val="0"/>
          <c:showBubbleSize val="0"/>
        </c:dLbls>
        <c:gapWidth val="250"/>
        <c:overlap val="100"/>
        <c:axId val="2132302976"/>
        <c:axId val="2132313792"/>
      </c:barChart>
      <c:lineChart>
        <c:grouping val="standard"/>
        <c:varyColors val="0"/>
        <c:ser>
          <c:idx val="4"/>
          <c:order val="4"/>
          <c:tx>
            <c:strRef>
              <c:f>'Ergebnisse Recycletes Neuteil'!$A$33</c:f>
              <c:strCache>
                <c:ptCount val="1"/>
                <c:pt idx="0">
                  <c:v>Position Datenbeschriftung</c:v>
                </c:pt>
              </c:strCache>
            </c:strRef>
          </c:tx>
          <c:spPr>
            <a:ln w="25400" cap="rnd">
              <a:noFill/>
              <a:round/>
            </a:ln>
            <a:effectLst/>
          </c:spPr>
          <c:marker>
            <c:symbol val="none"/>
          </c:marker>
          <c:dLbls>
            <c:dLbl>
              <c:idx val="0"/>
              <c:tx>
                <c:rich>
                  <a:bodyPr/>
                  <a:lstStyle/>
                  <a:p>
                    <a:fld id="{5F0378C7-EE3A-4A95-BD14-2727D02755C7}"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83BA-4D9D-8B01-BD94F8C8E08C}"/>
                </c:ext>
              </c:extLst>
            </c:dLbl>
            <c:dLbl>
              <c:idx val="1"/>
              <c:tx>
                <c:rich>
                  <a:bodyPr/>
                  <a:lstStyle/>
                  <a:p>
                    <a:fld id="{C144774F-042B-4FC8-A8A3-0133DB38E052}"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3BA-4D9D-8B01-BD94F8C8E08C}"/>
                </c:ext>
              </c:extLst>
            </c:dLbl>
            <c:dLbl>
              <c:idx val="2"/>
              <c:tx>
                <c:rich>
                  <a:bodyPr/>
                  <a:lstStyle/>
                  <a:p>
                    <a:fld id="{283A2740-536C-4D8F-BAC3-A6EA08C0EFE2}"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3BA-4D9D-8B01-BD94F8C8E08C}"/>
                </c:ext>
              </c:extLst>
            </c:dLbl>
            <c:dLbl>
              <c:idx val="3"/>
              <c:tx>
                <c:rich>
                  <a:bodyPr/>
                  <a:lstStyle/>
                  <a:p>
                    <a:fld id="{77D2B059-3B7E-4930-96F9-D76508851C81}"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3BA-4D9D-8B01-BD94F8C8E0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'Ergebnisse Recycletes Neuteil'!$B$24:$E$25</c:f>
              <c:multiLvlStrCache>
                <c:ptCount val="4"/>
                <c:lvl>
                  <c:pt idx="0">
                    <c:v>Austausch</c:v>
                  </c:pt>
                  <c:pt idx="1">
                    <c:v>Reparatur</c:v>
                  </c:pt>
                  <c:pt idx="2">
                    <c:v>Austausch</c:v>
                  </c:pt>
                  <c:pt idx="3">
                    <c:v>Reparatur</c:v>
                  </c:pt>
                </c:lvl>
                <c:lvl>
                  <c:pt idx="0">
                    <c:v>Autotür</c:v>
                  </c:pt>
                  <c:pt idx="2">
                    <c:v>Stoßfänger</c:v>
                  </c:pt>
                </c:lvl>
              </c:multiLvlStrCache>
            </c:multiLvlStrRef>
          </c:cat>
          <c:val>
            <c:numRef>
              <c:f>'Ergebnisse Recycletes Neuteil'!$B$33:$E$33</c:f>
              <c:numCache>
                <c:formatCode>0.0</c:formatCode>
                <c:ptCount val="4"/>
                <c:pt idx="0">
                  <c:v>99.149540962087485</c:v>
                </c:pt>
                <c:pt idx="1">
                  <c:v>54.024385892243615</c:v>
                </c:pt>
                <c:pt idx="2">
                  <c:v>106.00789326301334</c:v>
                </c:pt>
                <c:pt idx="3">
                  <c:v>63.653643534949545</c:v>
                </c:pt>
              </c:numCache>
            </c:numRef>
          </c:val>
          <c:smooth val="0"/>
          <c:extLst>
            <c:ext xmlns:c15="http://schemas.microsoft.com/office/drawing/2012/chart" uri="{02D57815-91ED-43cb-92C2-25804820EDAC}">
              <c15:datalabelsRange>
                <c15:f>'Ergebnisse Recycletes Neuteil'!$B$32:$E$32</c15:f>
                <c15:dlblRangeCache>
                  <c:ptCount val="4"/>
                  <c:pt idx="0">
                    <c:v>-39,9%</c:v>
                  </c:pt>
                  <c:pt idx="1">
                    <c:v>0,0%</c:v>
                  </c:pt>
                  <c:pt idx="2">
                    <c:v>-8,8%</c:v>
                  </c:pt>
                  <c:pt idx="3">
                    <c:v>0,0%</c:v>
                  </c:pt>
                </c15:dlblRangeCache>
              </c15:datalabelsRange>
            </c:ext>
            <c:ext xmlns:c16="http://schemas.microsoft.com/office/drawing/2014/chart" uri="{C3380CC4-5D6E-409C-BE32-E72D297353CC}">
              <c16:uniqueId val="{0000000C-83BA-4D9D-8B01-BD94F8C8E08C}"/>
            </c:ext>
          </c:extLst>
        </c:ser>
        <c:dLbls>
          <c:showLegendKey val="0"/>
          <c:showVal val="0"/>
          <c:showCatName val="0"/>
          <c:showSerName val="0"/>
          <c:showPercent val="0"/>
          <c:showBubbleSize val="0"/>
        </c:dLbls>
        <c:marker val="1"/>
        <c:smooth val="0"/>
        <c:axId val="2132302976"/>
        <c:axId val="2132313792"/>
      </c:lineChart>
      <c:catAx>
        <c:axId val="178787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7874224"/>
        <c:crosses val="autoZero"/>
        <c:auto val="1"/>
        <c:lblAlgn val="ctr"/>
        <c:lblOffset val="100"/>
        <c:noMultiLvlLbl val="0"/>
      </c:catAx>
      <c:valAx>
        <c:axId val="1787874224"/>
        <c:scaling>
          <c:orientation val="minMax"/>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de-DE" sz="1800" b="0" i="0" baseline="0">
                    <a:effectLst/>
                  </a:rPr>
                  <a:t>kgCO</a:t>
                </a:r>
                <a:r>
                  <a:rPr lang="de-DE" sz="1800" b="0" i="0" baseline="-25000">
                    <a:effectLst/>
                  </a:rPr>
                  <a:t>2</a:t>
                </a:r>
                <a:r>
                  <a:rPr lang="de-DE" sz="1800" b="0" i="0" baseline="0">
                    <a:effectLst/>
                  </a:rPr>
                  <a:t>Äq./instangesetzter Schaden</a:t>
                </a:r>
                <a:endParaRPr lang="de-DE">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7877968"/>
        <c:crosses val="autoZero"/>
        <c:crossBetween val="between"/>
      </c:valAx>
      <c:valAx>
        <c:axId val="2132313792"/>
        <c:scaling>
          <c:orientation val="minMax"/>
        </c:scaling>
        <c:delete val="1"/>
        <c:axPos val="r"/>
        <c:numFmt formatCode="General" sourceLinked="1"/>
        <c:majorTickMark val="out"/>
        <c:minorTickMark val="none"/>
        <c:tickLblPos val="nextTo"/>
        <c:crossAx val="2132302976"/>
        <c:crosses val="max"/>
        <c:crossBetween val="between"/>
      </c:valAx>
      <c:catAx>
        <c:axId val="2132302976"/>
        <c:scaling>
          <c:orientation val="minMax"/>
        </c:scaling>
        <c:delete val="1"/>
        <c:axPos val="b"/>
        <c:numFmt formatCode="General" sourceLinked="1"/>
        <c:majorTickMark val="out"/>
        <c:minorTickMark val="none"/>
        <c:tickLblPos val="nextTo"/>
        <c:crossAx val="2132313792"/>
        <c:crosses val="autoZero"/>
        <c:auto val="1"/>
        <c:lblAlgn val="ctr"/>
        <c:lblOffset val="100"/>
        <c:noMultiLvlLbl val="0"/>
      </c:catAx>
      <c:spPr>
        <a:noFill/>
        <a:ln>
          <a:solidFill>
            <a:schemeClr val="bg1">
              <a:lumMod val="7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'Ergebnisse lange Transportwege'!$A$27</c:f>
              <c:strCache>
                <c:ptCount val="1"/>
                <c:pt idx="0">
                  <c:v>Basis</c:v>
                </c:pt>
              </c:strCache>
            </c:strRef>
          </c:tx>
          <c:spPr>
            <a:solidFill>
              <a:schemeClr val="accent3"/>
            </a:solidFill>
            <a:ln>
              <a:noFill/>
            </a:ln>
            <a:effectLst/>
          </c:spPr>
          <c:invertIfNegative val="0"/>
          <c:cat>
            <c:multiLvlStrRef>
              <c:f>'Ergebnisse lange Transportwege'!$B$24:$G$25</c:f>
              <c:multiLvlStrCache>
                <c:ptCount val="6"/>
                <c:lvl>
                  <c:pt idx="0">
                    <c:v>Austausch</c:v>
                  </c:pt>
                  <c:pt idx="1">
                    <c:v>Reparatur</c:v>
                  </c:pt>
                  <c:pt idx="2">
                    <c:v>Austausch</c:v>
                  </c:pt>
                  <c:pt idx="3">
                    <c:v>Reparatur</c:v>
                  </c:pt>
                  <c:pt idx="4">
                    <c:v>Austausch</c:v>
                  </c:pt>
                  <c:pt idx="5">
                    <c:v>Reparatur</c:v>
                  </c:pt>
                </c:lvl>
                <c:lvl>
                  <c:pt idx="0">
                    <c:v>Autotür</c:v>
                  </c:pt>
                  <c:pt idx="2">
                    <c:v>Stoßfänger</c:v>
                  </c:pt>
                  <c:pt idx="4">
                    <c:v>Seitenteil</c:v>
                  </c:pt>
                </c:lvl>
              </c:multiLvlStrCache>
            </c:multiLvlStrRef>
          </c:cat>
          <c:val>
            <c:numRef>
              <c:f>'Ergebnisse lange Transportwege'!$B$27:$G$27</c:f>
              <c:numCache>
                <c:formatCode>0.0</c:formatCode>
                <c:ptCount val="6"/>
                <c:pt idx="0">
                  <c:v>94.428134249607126</c:v>
                </c:pt>
                <c:pt idx="1">
                  <c:v>51.451796087851058</c:v>
                </c:pt>
                <c:pt idx="2">
                  <c:v>100.959898345727</c:v>
                </c:pt>
                <c:pt idx="3">
                  <c:v>60.622517652332903</c:v>
                </c:pt>
                <c:pt idx="4">
                  <c:v>218.4485935047714</c:v>
                </c:pt>
                <c:pt idx="5">
                  <c:v>86.750703793861035</c:v>
                </c:pt>
              </c:numCache>
            </c:numRef>
          </c:val>
          <c:extLst>
            <c:ext xmlns:c16="http://schemas.microsoft.com/office/drawing/2014/chart" uri="{C3380CC4-5D6E-409C-BE32-E72D297353CC}">
              <c16:uniqueId val="{00000000-EAD7-4BD6-85D7-B9A4404F8764}"/>
            </c:ext>
          </c:extLst>
        </c:ser>
        <c:dLbls>
          <c:showLegendKey val="0"/>
          <c:showVal val="0"/>
          <c:showCatName val="0"/>
          <c:showSerName val="0"/>
          <c:showPercent val="0"/>
          <c:showBubbleSize val="0"/>
        </c:dLbls>
        <c:gapWidth val="150"/>
        <c:overlap val="100"/>
        <c:axId val="1787877968"/>
        <c:axId val="1787874224"/>
      </c:barChart>
      <c:barChart>
        <c:barDir val="col"/>
        <c:grouping val="stacked"/>
        <c:varyColors val="0"/>
        <c:ser>
          <c:idx val="1"/>
          <c:order val="1"/>
          <c:tx>
            <c:strRef>
              <c:f>'Ergebnisse lange Transportwege'!$A$31</c:f>
              <c:strCache>
                <c:ptCount val="1"/>
                <c:pt idx="0">
                  <c:v>Transparent</c:v>
                </c:pt>
              </c:strCache>
            </c:strRef>
          </c:tx>
          <c:spPr>
            <a:solidFill>
              <a:schemeClr val="accent3"/>
            </a:solidFill>
            <a:ln>
              <a:noFill/>
            </a:ln>
            <a:effectLst/>
          </c:spPr>
          <c:invertIfNegative val="0"/>
          <c:dLbls>
            <c:dLbl>
              <c:idx val="0"/>
              <c:tx>
                <c:rich>
                  <a:bodyPr/>
                  <a:lstStyle/>
                  <a:p>
                    <a:fld id="{C00C005E-7521-4CF5-98D8-EF192FBD5D9E}"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AD7-4BD6-85D7-B9A4404F8764}"/>
                </c:ext>
              </c:extLst>
            </c:dLbl>
            <c:dLbl>
              <c:idx val="1"/>
              <c:tx>
                <c:rich>
                  <a:bodyPr/>
                  <a:lstStyle/>
                  <a:p>
                    <a:fld id="{69B0D881-BF48-4DA3-8055-252C6120E66E}"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AD7-4BD6-85D7-B9A4404F8764}"/>
                </c:ext>
              </c:extLst>
            </c:dLbl>
            <c:dLbl>
              <c:idx val="2"/>
              <c:tx>
                <c:rich>
                  <a:bodyPr/>
                  <a:lstStyle/>
                  <a:p>
                    <a:fld id="{2CC1911F-E519-4972-A013-B0E8BA62C295}"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AD7-4BD6-85D7-B9A4404F8764}"/>
                </c:ext>
              </c:extLst>
            </c:dLbl>
            <c:dLbl>
              <c:idx val="3"/>
              <c:tx>
                <c:rich>
                  <a:bodyPr/>
                  <a:lstStyle/>
                  <a:p>
                    <a:fld id="{7EB20C22-B6CA-4D36-973C-58AA3FBF0A0A}"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AD7-4BD6-85D7-B9A4404F8764}"/>
                </c:ext>
              </c:extLst>
            </c:dLbl>
            <c:dLbl>
              <c:idx val="4"/>
              <c:tx>
                <c:rich>
                  <a:bodyPr/>
                  <a:lstStyle/>
                  <a:p>
                    <a:fld id="{6BCC9F6C-1486-432F-9E51-9602533156A5}"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AD7-4BD6-85D7-B9A4404F8764}"/>
                </c:ext>
              </c:extLst>
            </c:dLbl>
            <c:dLbl>
              <c:idx val="5"/>
              <c:tx>
                <c:rich>
                  <a:bodyPr/>
                  <a:lstStyle/>
                  <a:p>
                    <a:fld id="{25B08888-ADFF-4B7F-94A6-5A3380B1F314}"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AD7-4BD6-85D7-B9A4404F8764}"/>
                </c:ext>
              </c:extLst>
            </c:dLbl>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Lit>
              <c:ptCount val="6"/>
              <c:pt idx="0">
                <c:v>Seitenteil Austausch</c:v>
              </c:pt>
              <c:pt idx="1">
                <c:v>Seitenteil Reparatur</c:v>
              </c:pt>
              <c:pt idx="2">
                <c:v>Stoßfänger Austausch</c:v>
              </c:pt>
              <c:pt idx="3">
                <c:v>Stoßfänger Reparatur</c:v>
              </c:pt>
              <c:pt idx="4">
                <c:v>Tür Austausch</c:v>
              </c:pt>
              <c:pt idx="5">
                <c:v>Tür Reparatur</c:v>
              </c:pt>
            </c:strLit>
          </c:cat>
          <c:val>
            <c:numRef>
              <c:f>'Ergebnisse lange Transportwege'!$B$31:$G$31</c:f>
              <c:numCache>
                <c:formatCode>General</c:formatCode>
                <c:ptCount val="6"/>
                <c:pt idx="0">
                  <c:v>94.428134249607126</c:v>
                </c:pt>
                <c:pt idx="1">
                  <c:v>51.451796087851058</c:v>
                </c:pt>
                <c:pt idx="2">
                  <c:v>100.959898345727</c:v>
                </c:pt>
                <c:pt idx="3">
                  <c:v>60.622517652332903</c:v>
                </c:pt>
                <c:pt idx="4">
                  <c:v>218.4485935047714</c:v>
                </c:pt>
                <c:pt idx="5">
                  <c:v>86.750703793861035</c:v>
                </c:pt>
              </c:numCache>
            </c:numRef>
          </c:val>
          <c:extLst>
            <c:ext xmlns:c15="http://schemas.microsoft.com/office/drawing/2012/chart" uri="{02D57815-91ED-43cb-92C2-25804820EDAC}">
              <c15:datalabelsRange>
                <c15:f>'Ergebnisse lange Transportwege'!$B$26:$G$26</c15:f>
                <c15:dlblRangeCache>
                  <c:ptCount val="6"/>
                  <c:pt idx="0">
                    <c:v>97,4</c:v>
                  </c:pt>
                  <c:pt idx="1">
                    <c:v>51,5</c:v>
                  </c:pt>
                  <c:pt idx="2">
                    <c:v>102,4</c:v>
                  </c:pt>
                  <c:pt idx="3">
                    <c:v>60,6</c:v>
                  </c:pt>
                  <c:pt idx="4">
                    <c:v>221,2</c:v>
                  </c:pt>
                  <c:pt idx="5">
                    <c:v>86,8</c:v>
                  </c:pt>
                </c15:dlblRangeCache>
              </c15:datalabelsRange>
            </c:ext>
            <c:ext xmlns:c16="http://schemas.microsoft.com/office/drawing/2014/chart" uri="{C3380CC4-5D6E-409C-BE32-E72D297353CC}">
              <c16:uniqueId val="{00000007-EAD7-4BD6-85D7-B9A4404F8764}"/>
            </c:ext>
          </c:extLst>
        </c:ser>
        <c:ser>
          <c:idx val="2"/>
          <c:order val="2"/>
          <c:tx>
            <c:strRef>
              <c:f>'Ergebnisse lange Transportwege'!$A$29</c:f>
              <c:strCache>
                <c:ptCount val="1"/>
                <c:pt idx="0">
                  <c:v>Abweichung pos</c:v>
                </c:pt>
              </c:strCache>
            </c:strRef>
          </c:tx>
          <c:spPr>
            <a:solidFill>
              <a:srgbClr val="FF0000"/>
            </a:solidFill>
            <a:ln>
              <a:noFill/>
            </a:ln>
            <a:effectLst/>
          </c:spPr>
          <c:invertIfNegative val="0"/>
          <c:cat>
            <c:strLit>
              <c:ptCount val="6"/>
              <c:pt idx="0">
                <c:v>Seitenteil Austausch</c:v>
              </c:pt>
              <c:pt idx="1">
                <c:v>Seitenteil Reparatur</c:v>
              </c:pt>
              <c:pt idx="2">
                <c:v>Stoßfänger Austausch</c:v>
              </c:pt>
              <c:pt idx="3">
                <c:v>Stoßfänger Reparatur</c:v>
              </c:pt>
              <c:pt idx="4">
                <c:v>Tür Austausch</c:v>
              </c:pt>
              <c:pt idx="5">
                <c:v>Tür Reparatur</c:v>
              </c:pt>
            </c:strLit>
          </c:cat>
          <c:val>
            <c:numRef>
              <c:f>'Ergebnisse lange Transportwege'!$B$29:$G$29</c:f>
              <c:numCache>
                <c:formatCode>General</c:formatCode>
                <c:ptCount val="6"/>
                <c:pt idx="0">
                  <c:v>2.9252866285215902</c:v>
                </c:pt>
                <c:pt idx="1">
                  <c:v>0</c:v>
                </c:pt>
                <c:pt idx="2">
                  <c:v>1.4626433142609017</c:v>
                </c:pt>
                <c:pt idx="3">
                  <c:v>0</c:v>
                </c:pt>
                <c:pt idx="4">
                  <c:v>2.7790222970959917</c:v>
                </c:pt>
                <c:pt idx="5">
                  <c:v>0</c:v>
                </c:pt>
              </c:numCache>
            </c:numRef>
          </c:val>
          <c:extLst>
            <c:ext xmlns:c16="http://schemas.microsoft.com/office/drawing/2014/chart" uri="{C3380CC4-5D6E-409C-BE32-E72D297353CC}">
              <c16:uniqueId val="{00000008-EAD7-4BD6-85D7-B9A4404F8764}"/>
            </c:ext>
          </c:extLst>
        </c:ser>
        <c:ser>
          <c:idx val="3"/>
          <c:order val="3"/>
          <c:tx>
            <c:strRef>
              <c:f>'Ergebnisse lange Transportwege'!$A$30</c:f>
              <c:strCache>
                <c:ptCount val="1"/>
                <c:pt idx="0">
                  <c:v>Abweichung neg</c:v>
                </c:pt>
              </c:strCache>
            </c:strRef>
          </c:tx>
          <c:spPr>
            <a:solidFill>
              <a:schemeClr val="accent1"/>
            </a:solidFill>
            <a:ln>
              <a:noFill/>
            </a:ln>
            <a:effectLst/>
          </c:spPr>
          <c:invertIfNegative val="0"/>
          <c:cat>
            <c:strLit>
              <c:ptCount val="6"/>
              <c:pt idx="0">
                <c:v>Seitenteil Austausch</c:v>
              </c:pt>
              <c:pt idx="1">
                <c:v>Seitenteil Reparatur</c:v>
              </c:pt>
              <c:pt idx="2">
                <c:v>Stoßfänger Austausch</c:v>
              </c:pt>
              <c:pt idx="3">
                <c:v>Stoßfänger Reparatur</c:v>
              </c:pt>
              <c:pt idx="4">
                <c:v>Tür Austausch</c:v>
              </c:pt>
              <c:pt idx="5">
                <c:v>Tür Reparatur</c:v>
              </c:pt>
            </c:strLit>
          </c:cat>
          <c:val>
            <c:numRef>
              <c:f>'Ergebnisse lange Transportwege'!$B$30:$G$30</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9-EAD7-4BD6-85D7-B9A4404F8764}"/>
            </c:ext>
          </c:extLst>
        </c:ser>
        <c:dLbls>
          <c:showLegendKey val="0"/>
          <c:showVal val="0"/>
          <c:showCatName val="0"/>
          <c:showSerName val="0"/>
          <c:showPercent val="0"/>
          <c:showBubbleSize val="0"/>
        </c:dLbls>
        <c:gapWidth val="250"/>
        <c:overlap val="100"/>
        <c:axId val="2132302976"/>
        <c:axId val="2132313792"/>
      </c:barChart>
      <c:lineChart>
        <c:grouping val="standard"/>
        <c:varyColors val="0"/>
        <c:ser>
          <c:idx val="4"/>
          <c:order val="4"/>
          <c:tx>
            <c:strRef>
              <c:f>'Ergebnisse lange Transportwege'!$A$33</c:f>
              <c:strCache>
                <c:ptCount val="1"/>
                <c:pt idx="0">
                  <c:v>Position Datenbeschriftung</c:v>
                </c:pt>
              </c:strCache>
            </c:strRef>
          </c:tx>
          <c:spPr>
            <a:ln w="25400" cap="rnd">
              <a:noFill/>
              <a:round/>
            </a:ln>
            <a:effectLst/>
          </c:spPr>
          <c:marker>
            <c:symbol val="none"/>
          </c:marker>
          <c:dLbls>
            <c:dLbl>
              <c:idx val="0"/>
              <c:tx>
                <c:rich>
                  <a:bodyPr/>
                  <a:lstStyle/>
                  <a:p>
                    <a:fld id="{73CCC093-2791-4FF4-8B51-13142883836D}"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EAD7-4BD6-85D7-B9A4404F8764}"/>
                </c:ext>
              </c:extLst>
            </c:dLbl>
            <c:dLbl>
              <c:idx val="1"/>
              <c:tx>
                <c:rich>
                  <a:bodyPr/>
                  <a:lstStyle/>
                  <a:p>
                    <a:fld id="{D809F764-2BE8-4ADE-BA83-4A55B4D74927}"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AD7-4BD6-85D7-B9A4404F8764}"/>
                </c:ext>
              </c:extLst>
            </c:dLbl>
            <c:dLbl>
              <c:idx val="2"/>
              <c:tx>
                <c:rich>
                  <a:bodyPr/>
                  <a:lstStyle/>
                  <a:p>
                    <a:fld id="{94030DE2-68B7-43B3-B8D9-5590DD2039E1}"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AD7-4BD6-85D7-B9A4404F8764}"/>
                </c:ext>
              </c:extLst>
            </c:dLbl>
            <c:dLbl>
              <c:idx val="3"/>
              <c:tx>
                <c:rich>
                  <a:bodyPr/>
                  <a:lstStyle/>
                  <a:p>
                    <a:fld id="{6B170676-B77B-48DD-A50F-92A65FB74251}"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AD7-4BD6-85D7-B9A4404F8764}"/>
                </c:ext>
              </c:extLst>
            </c:dLbl>
            <c:dLbl>
              <c:idx val="4"/>
              <c:tx>
                <c:rich>
                  <a:bodyPr/>
                  <a:lstStyle/>
                  <a:p>
                    <a:fld id="{5AF76F9C-F453-4C43-9B42-B54F54C18813}"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AD7-4BD6-85D7-B9A4404F8764}"/>
                </c:ext>
              </c:extLst>
            </c:dLbl>
            <c:dLbl>
              <c:idx val="5"/>
              <c:tx>
                <c:rich>
                  <a:bodyPr/>
                  <a:lstStyle/>
                  <a:p>
                    <a:fld id="{6A1290FA-BEAD-405E-87AE-2480371BEA65}"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AD7-4BD6-85D7-B9A4404F87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'Ergebnisse lange Transportwege'!$B$24:$G$25</c:f>
              <c:multiLvlStrCache>
                <c:ptCount val="6"/>
                <c:lvl>
                  <c:pt idx="0">
                    <c:v>Austausch</c:v>
                  </c:pt>
                  <c:pt idx="1">
                    <c:v>Reparatur</c:v>
                  </c:pt>
                  <c:pt idx="2">
                    <c:v>Austausch</c:v>
                  </c:pt>
                  <c:pt idx="3">
                    <c:v>Reparatur</c:v>
                  </c:pt>
                  <c:pt idx="4">
                    <c:v>Austausch</c:v>
                  </c:pt>
                  <c:pt idx="5">
                    <c:v>Reparatur</c:v>
                  </c:pt>
                </c:lvl>
                <c:lvl>
                  <c:pt idx="0">
                    <c:v>Autotür</c:v>
                  </c:pt>
                  <c:pt idx="2">
                    <c:v>Stoßfänger</c:v>
                  </c:pt>
                  <c:pt idx="4">
                    <c:v>Seitenteil</c:v>
                  </c:pt>
                </c:lvl>
              </c:multiLvlStrCache>
            </c:multiLvlStrRef>
          </c:cat>
          <c:val>
            <c:numRef>
              <c:f>'Ergebnisse lange Transportwege'!$B$33:$G$33</c:f>
              <c:numCache>
                <c:formatCode>0.0</c:formatCode>
                <c:ptCount val="6"/>
                <c:pt idx="0">
                  <c:v>102.22109192203516</c:v>
                </c:pt>
                <c:pt idx="1">
                  <c:v>54.024385892243615</c:v>
                </c:pt>
                <c:pt idx="2">
                  <c:v>107.54366874298729</c:v>
                </c:pt>
                <c:pt idx="3">
                  <c:v>63.653643534949545</c:v>
                </c:pt>
                <c:pt idx="4">
                  <c:v>232.28899659196077</c:v>
                </c:pt>
                <c:pt idx="5">
                  <c:v>91.088238983554092</c:v>
                </c:pt>
              </c:numCache>
            </c:numRef>
          </c:val>
          <c:smooth val="0"/>
          <c:extLst>
            <c:ext xmlns:c15="http://schemas.microsoft.com/office/drawing/2012/chart" uri="{02D57815-91ED-43cb-92C2-25804820EDAC}">
              <c15:datalabelsRange>
                <c15:f>'Ergebnisse lange Transportwege'!$B$32:$G$32</c15:f>
                <c15:dlblRangeCache>
                  <c:ptCount val="6"/>
                  <c:pt idx="0">
                    <c:v>3,1%</c:v>
                  </c:pt>
                  <c:pt idx="1">
                    <c:v>0,0%</c:v>
                  </c:pt>
                  <c:pt idx="2">
                    <c:v>1,4%</c:v>
                  </c:pt>
                  <c:pt idx="3">
                    <c:v>0,0%</c:v>
                  </c:pt>
                  <c:pt idx="4">
                    <c:v>1,3%</c:v>
                  </c:pt>
                  <c:pt idx="5">
                    <c:v>0,0%</c:v>
                  </c:pt>
                </c15:dlblRangeCache>
              </c15:datalabelsRange>
            </c:ext>
            <c:ext xmlns:c16="http://schemas.microsoft.com/office/drawing/2014/chart" uri="{C3380CC4-5D6E-409C-BE32-E72D297353CC}">
              <c16:uniqueId val="{00000010-EAD7-4BD6-85D7-B9A4404F8764}"/>
            </c:ext>
          </c:extLst>
        </c:ser>
        <c:dLbls>
          <c:showLegendKey val="0"/>
          <c:showVal val="0"/>
          <c:showCatName val="0"/>
          <c:showSerName val="0"/>
          <c:showPercent val="0"/>
          <c:showBubbleSize val="0"/>
        </c:dLbls>
        <c:marker val="1"/>
        <c:smooth val="0"/>
        <c:axId val="2132302976"/>
        <c:axId val="2132313792"/>
      </c:lineChart>
      <c:catAx>
        <c:axId val="178787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7874224"/>
        <c:crosses val="autoZero"/>
        <c:auto val="1"/>
        <c:lblAlgn val="ctr"/>
        <c:lblOffset val="100"/>
        <c:noMultiLvlLbl val="0"/>
      </c:catAx>
      <c:valAx>
        <c:axId val="1787874224"/>
        <c:scaling>
          <c:orientation val="minMax"/>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de-DE" sz="1800" b="0" i="0" baseline="0">
                    <a:effectLst/>
                  </a:rPr>
                  <a:t>kgCO</a:t>
                </a:r>
                <a:r>
                  <a:rPr lang="de-DE" sz="1800" b="0" i="0" baseline="-25000">
                    <a:effectLst/>
                  </a:rPr>
                  <a:t>2</a:t>
                </a:r>
                <a:r>
                  <a:rPr lang="de-DE" sz="1800" b="0" i="0" baseline="0">
                    <a:effectLst/>
                  </a:rPr>
                  <a:t>Äq./instangesetzter Schaden</a:t>
                </a:r>
                <a:endParaRPr lang="de-DE">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7877968"/>
        <c:crosses val="autoZero"/>
        <c:crossBetween val="between"/>
      </c:valAx>
      <c:valAx>
        <c:axId val="2132313792"/>
        <c:scaling>
          <c:orientation val="minMax"/>
        </c:scaling>
        <c:delete val="1"/>
        <c:axPos val="r"/>
        <c:numFmt formatCode="General" sourceLinked="1"/>
        <c:majorTickMark val="out"/>
        <c:minorTickMark val="none"/>
        <c:tickLblPos val="nextTo"/>
        <c:crossAx val="2132302976"/>
        <c:crosses val="max"/>
        <c:crossBetween val="between"/>
      </c:valAx>
      <c:catAx>
        <c:axId val="2132302976"/>
        <c:scaling>
          <c:orientation val="minMax"/>
        </c:scaling>
        <c:delete val="1"/>
        <c:axPos val="b"/>
        <c:numFmt formatCode="General" sourceLinked="1"/>
        <c:majorTickMark val="out"/>
        <c:minorTickMark val="none"/>
        <c:tickLblPos val="nextTo"/>
        <c:crossAx val="2132313792"/>
        <c:crosses val="autoZero"/>
        <c:auto val="1"/>
        <c:lblAlgn val="ctr"/>
        <c:lblOffset val="100"/>
        <c:noMultiLvlLbl val="0"/>
      </c:catAx>
      <c:spPr>
        <a:noFill/>
        <a:ln>
          <a:solidFill>
            <a:schemeClr val="bg1">
              <a:lumMod val="7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'Ergebnisse Lackfarbe'!$A$27</c:f>
              <c:strCache>
                <c:ptCount val="1"/>
                <c:pt idx="0">
                  <c:v>Basis</c:v>
                </c:pt>
              </c:strCache>
            </c:strRef>
          </c:tx>
          <c:spPr>
            <a:solidFill>
              <a:schemeClr val="accent3"/>
            </a:solidFill>
            <a:ln>
              <a:noFill/>
            </a:ln>
            <a:effectLst/>
          </c:spPr>
          <c:invertIfNegative val="0"/>
          <c:cat>
            <c:multiLvlStrRef>
              <c:f>'Ergebnisse Lackfarbe'!$B$24:$G$25</c:f>
              <c:multiLvlStrCache>
                <c:ptCount val="6"/>
                <c:lvl>
                  <c:pt idx="0">
                    <c:v>Austausch</c:v>
                  </c:pt>
                  <c:pt idx="1">
                    <c:v>Reparatur</c:v>
                  </c:pt>
                  <c:pt idx="2">
                    <c:v>Austausch</c:v>
                  </c:pt>
                  <c:pt idx="3">
                    <c:v>Reparatur</c:v>
                  </c:pt>
                  <c:pt idx="4">
                    <c:v>Austausch</c:v>
                  </c:pt>
                  <c:pt idx="5">
                    <c:v>Reparatur</c:v>
                  </c:pt>
                </c:lvl>
                <c:lvl>
                  <c:pt idx="0">
                    <c:v>Autotür</c:v>
                  </c:pt>
                  <c:pt idx="2">
                    <c:v>Stoßfänger</c:v>
                  </c:pt>
                  <c:pt idx="4">
                    <c:v>Seitenteil</c:v>
                  </c:pt>
                </c:lvl>
              </c:multiLvlStrCache>
            </c:multiLvlStrRef>
          </c:cat>
          <c:val>
            <c:numRef>
              <c:f>'Ergebnisse Lackfarbe'!$B$27:$G$27</c:f>
              <c:numCache>
                <c:formatCode>0.00</c:formatCode>
                <c:ptCount val="6"/>
                <c:pt idx="0">
                  <c:v>94.428134249607126</c:v>
                </c:pt>
                <c:pt idx="1">
                  <c:v>51.451796087851058</c:v>
                </c:pt>
                <c:pt idx="2">
                  <c:v>100.959898345727</c:v>
                </c:pt>
                <c:pt idx="3">
                  <c:v>60.622517652332903</c:v>
                </c:pt>
                <c:pt idx="4">
                  <c:v>218.4485935047714</c:v>
                </c:pt>
                <c:pt idx="5">
                  <c:v>86.750703793861035</c:v>
                </c:pt>
              </c:numCache>
            </c:numRef>
          </c:val>
          <c:extLst>
            <c:ext xmlns:c16="http://schemas.microsoft.com/office/drawing/2014/chart" uri="{C3380CC4-5D6E-409C-BE32-E72D297353CC}">
              <c16:uniqueId val="{00000000-685D-406D-A44B-B30893AF1889}"/>
            </c:ext>
          </c:extLst>
        </c:ser>
        <c:dLbls>
          <c:showLegendKey val="0"/>
          <c:showVal val="0"/>
          <c:showCatName val="0"/>
          <c:showSerName val="0"/>
          <c:showPercent val="0"/>
          <c:showBubbleSize val="0"/>
        </c:dLbls>
        <c:gapWidth val="150"/>
        <c:overlap val="100"/>
        <c:axId val="1787877968"/>
        <c:axId val="1787874224"/>
      </c:barChart>
      <c:barChart>
        <c:barDir val="col"/>
        <c:grouping val="stacked"/>
        <c:varyColors val="0"/>
        <c:ser>
          <c:idx val="1"/>
          <c:order val="1"/>
          <c:tx>
            <c:strRef>
              <c:f>'Ergebnisse Lackfarbe'!$A$31</c:f>
              <c:strCache>
                <c:ptCount val="1"/>
                <c:pt idx="0">
                  <c:v>Transparent</c:v>
                </c:pt>
              </c:strCache>
            </c:strRef>
          </c:tx>
          <c:spPr>
            <a:solidFill>
              <a:schemeClr val="accent3"/>
            </a:solidFill>
            <a:ln>
              <a:noFill/>
            </a:ln>
            <a:effectLst/>
          </c:spPr>
          <c:invertIfNegative val="0"/>
          <c:dLbls>
            <c:dLbl>
              <c:idx val="0"/>
              <c:tx>
                <c:rich>
                  <a:bodyPr/>
                  <a:lstStyle/>
                  <a:p>
                    <a:fld id="{9DDCE71E-1E49-4ED8-AF55-FCF858EB59E5}"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85D-406D-A44B-B30893AF1889}"/>
                </c:ext>
              </c:extLst>
            </c:dLbl>
            <c:dLbl>
              <c:idx val="1"/>
              <c:tx>
                <c:rich>
                  <a:bodyPr/>
                  <a:lstStyle/>
                  <a:p>
                    <a:fld id="{9033F7D6-DE1D-4DF9-ABBD-A216A239E3F6}"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85D-406D-A44B-B30893AF1889}"/>
                </c:ext>
              </c:extLst>
            </c:dLbl>
            <c:dLbl>
              <c:idx val="2"/>
              <c:tx>
                <c:rich>
                  <a:bodyPr/>
                  <a:lstStyle/>
                  <a:p>
                    <a:fld id="{1A5FCBDB-E2DC-4294-BD69-E895DE83C0F3}"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85D-406D-A44B-B30893AF1889}"/>
                </c:ext>
              </c:extLst>
            </c:dLbl>
            <c:dLbl>
              <c:idx val="3"/>
              <c:tx>
                <c:rich>
                  <a:bodyPr/>
                  <a:lstStyle/>
                  <a:p>
                    <a:fld id="{3DCAA1E6-F1DE-475E-A004-59BA0EBA2EB6}"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85D-406D-A44B-B30893AF1889}"/>
                </c:ext>
              </c:extLst>
            </c:dLbl>
            <c:dLbl>
              <c:idx val="4"/>
              <c:tx>
                <c:rich>
                  <a:bodyPr/>
                  <a:lstStyle/>
                  <a:p>
                    <a:fld id="{DF7B176A-55D4-4995-B81F-374C4B627930}"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85D-406D-A44B-B30893AF1889}"/>
                </c:ext>
              </c:extLst>
            </c:dLbl>
            <c:dLbl>
              <c:idx val="5"/>
              <c:tx>
                <c:rich>
                  <a:bodyPr/>
                  <a:lstStyle/>
                  <a:p>
                    <a:fld id="{DFE43448-D930-4082-8256-3944F873F463}" type="CELLRANGE">
                      <a:rPr lang="en-US"/>
                      <a:pPr/>
                      <a:t>[ZELLBEREICH]</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85D-406D-A44B-B30893AF1889}"/>
                </c:ext>
              </c:extLst>
            </c:dLbl>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Lit>
              <c:ptCount val="6"/>
              <c:pt idx="0">
                <c:v>Seitenteil Austausch</c:v>
              </c:pt>
              <c:pt idx="1">
                <c:v>Seitenteil Reparatur</c:v>
              </c:pt>
              <c:pt idx="2">
                <c:v>Stoßfänger Austausch</c:v>
              </c:pt>
              <c:pt idx="3">
                <c:v>Stoßfänger Reparatur</c:v>
              </c:pt>
              <c:pt idx="4">
                <c:v>Tür Austausch</c:v>
              </c:pt>
              <c:pt idx="5">
                <c:v>Tür Reparatur</c:v>
              </c:pt>
            </c:strLit>
          </c:cat>
          <c:val>
            <c:numRef>
              <c:f>'Ergebnisse Lackfarbe'!$B$31:$G$31</c:f>
              <c:numCache>
                <c:formatCode>General</c:formatCode>
                <c:ptCount val="6"/>
                <c:pt idx="0">
                  <c:v>94.381889347261051</c:v>
                </c:pt>
                <c:pt idx="1">
                  <c:v>51.420966150912022</c:v>
                </c:pt>
                <c:pt idx="2">
                  <c:v>100.929068408788</c:v>
                </c:pt>
                <c:pt idx="3">
                  <c:v>60.591687715393718</c:v>
                </c:pt>
                <c:pt idx="4">
                  <c:v>218.39977944050369</c:v>
                </c:pt>
                <c:pt idx="5">
                  <c:v>86.70188972959312</c:v>
                </c:pt>
              </c:numCache>
            </c:numRef>
          </c:val>
          <c:extLst>
            <c:ext xmlns:c15="http://schemas.microsoft.com/office/drawing/2012/chart" uri="{02D57815-91ED-43cb-92C2-25804820EDAC}">
              <c15:datalabelsRange>
                <c15:f>'Ergebnisse Lackfarbe'!$B$26:$G$26</c15:f>
                <c15:dlblRangeCache>
                  <c:ptCount val="6"/>
                  <c:pt idx="0">
                    <c:v>94,38</c:v>
                  </c:pt>
                  <c:pt idx="1">
                    <c:v>51,42</c:v>
                  </c:pt>
                  <c:pt idx="2">
                    <c:v>100,93</c:v>
                  </c:pt>
                  <c:pt idx="3">
                    <c:v>60,59</c:v>
                  </c:pt>
                  <c:pt idx="4">
                    <c:v>218,40</c:v>
                  </c:pt>
                  <c:pt idx="5">
                    <c:v>86,70</c:v>
                  </c:pt>
                </c15:dlblRangeCache>
              </c15:datalabelsRange>
            </c:ext>
            <c:ext xmlns:c16="http://schemas.microsoft.com/office/drawing/2014/chart" uri="{C3380CC4-5D6E-409C-BE32-E72D297353CC}">
              <c16:uniqueId val="{00000007-685D-406D-A44B-B30893AF1889}"/>
            </c:ext>
          </c:extLst>
        </c:ser>
        <c:ser>
          <c:idx val="2"/>
          <c:order val="2"/>
          <c:tx>
            <c:strRef>
              <c:f>'Ergebnisse Lackfarbe'!$A$29</c:f>
              <c:strCache>
                <c:ptCount val="1"/>
                <c:pt idx="0">
                  <c:v>Abweichung pos</c:v>
                </c:pt>
              </c:strCache>
            </c:strRef>
          </c:tx>
          <c:spPr>
            <a:solidFill>
              <a:srgbClr val="FF0000"/>
            </a:solidFill>
            <a:ln>
              <a:noFill/>
            </a:ln>
            <a:effectLst/>
          </c:spPr>
          <c:invertIfNegative val="0"/>
          <c:cat>
            <c:strLit>
              <c:ptCount val="6"/>
              <c:pt idx="0">
                <c:v>Seitenteil Austausch</c:v>
              </c:pt>
              <c:pt idx="1">
                <c:v>Seitenteil Reparatur</c:v>
              </c:pt>
              <c:pt idx="2">
                <c:v>Stoßfänger Austausch</c:v>
              </c:pt>
              <c:pt idx="3">
                <c:v>Stoßfänger Reparatur</c:v>
              </c:pt>
              <c:pt idx="4">
                <c:v>Tür Austausch</c:v>
              </c:pt>
              <c:pt idx="5">
                <c:v>Tür Reparatur</c:v>
              </c:pt>
            </c:strLit>
          </c:cat>
          <c:val>
            <c:numRef>
              <c:f>'Ergebnisse Lackfarbe'!$B$29:$G$29</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685D-406D-A44B-B30893AF1889}"/>
            </c:ext>
          </c:extLst>
        </c:ser>
        <c:ser>
          <c:idx val="3"/>
          <c:order val="3"/>
          <c:tx>
            <c:strRef>
              <c:f>'Ergebnisse Lackfarbe'!$A$30</c:f>
              <c:strCache>
                <c:ptCount val="1"/>
                <c:pt idx="0">
                  <c:v>Abweichung neg</c:v>
                </c:pt>
              </c:strCache>
            </c:strRef>
          </c:tx>
          <c:spPr>
            <a:solidFill>
              <a:schemeClr val="accent1"/>
            </a:solidFill>
            <a:ln>
              <a:noFill/>
            </a:ln>
            <a:effectLst/>
          </c:spPr>
          <c:invertIfNegative val="0"/>
          <c:cat>
            <c:strLit>
              <c:ptCount val="6"/>
              <c:pt idx="0">
                <c:v>Seitenteil Austausch</c:v>
              </c:pt>
              <c:pt idx="1">
                <c:v>Seitenteil Reparatur</c:v>
              </c:pt>
              <c:pt idx="2">
                <c:v>Stoßfänger Austausch</c:v>
              </c:pt>
              <c:pt idx="3">
                <c:v>Stoßfänger Reparatur</c:v>
              </c:pt>
              <c:pt idx="4">
                <c:v>Tür Austausch</c:v>
              </c:pt>
              <c:pt idx="5">
                <c:v>Tür Reparatur</c:v>
              </c:pt>
            </c:strLit>
          </c:cat>
          <c:val>
            <c:numRef>
              <c:f>'Ergebnisse Lackfarbe'!$B$30:$G$30</c:f>
              <c:numCache>
                <c:formatCode>General</c:formatCode>
                <c:ptCount val="6"/>
                <c:pt idx="0">
                  <c:v>4.6244902346074923E-2</c:v>
                </c:pt>
                <c:pt idx="1">
                  <c:v>3.0829936939035463E-2</c:v>
                </c:pt>
                <c:pt idx="2">
                  <c:v>3.0829936938999936E-2</c:v>
                </c:pt>
                <c:pt idx="3">
                  <c:v>3.0829936939184677E-2</c:v>
                </c:pt>
                <c:pt idx="4">
                  <c:v>4.8814064267702406E-2</c:v>
                </c:pt>
                <c:pt idx="5">
                  <c:v>4.8814064267915569E-2</c:v>
                </c:pt>
              </c:numCache>
            </c:numRef>
          </c:val>
          <c:extLst>
            <c:ext xmlns:c16="http://schemas.microsoft.com/office/drawing/2014/chart" uri="{C3380CC4-5D6E-409C-BE32-E72D297353CC}">
              <c16:uniqueId val="{00000009-685D-406D-A44B-B30893AF1889}"/>
            </c:ext>
          </c:extLst>
        </c:ser>
        <c:dLbls>
          <c:showLegendKey val="0"/>
          <c:showVal val="0"/>
          <c:showCatName val="0"/>
          <c:showSerName val="0"/>
          <c:showPercent val="0"/>
          <c:showBubbleSize val="0"/>
        </c:dLbls>
        <c:gapWidth val="250"/>
        <c:overlap val="100"/>
        <c:axId val="2132302976"/>
        <c:axId val="2132313792"/>
      </c:barChart>
      <c:lineChart>
        <c:grouping val="standard"/>
        <c:varyColors val="0"/>
        <c:ser>
          <c:idx val="4"/>
          <c:order val="4"/>
          <c:tx>
            <c:strRef>
              <c:f>'Ergebnisse Lackfarbe'!$A$33</c:f>
              <c:strCache>
                <c:ptCount val="1"/>
                <c:pt idx="0">
                  <c:v>Position Datenbeschriftung</c:v>
                </c:pt>
              </c:strCache>
            </c:strRef>
          </c:tx>
          <c:spPr>
            <a:ln w="25400" cap="rnd">
              <a:noFill/>
              <a:round/>
            </a:ln>
            <a:effectLst/>
          </c:spPr>
          <c:marker>
            <c:symbol val="none"/>
          </c:marker>
          <c:dLbls>
            <c:dLbl>
              <c:idx val="0"/>
              <c:tx>
                <c:rich>
                  <a:bodyPr/>
                  <a:lstStyle/>
                  <a:p>
                    <a:fld id="{0286163A-D30B-42D4-94E1-C4C5ED6CE1A1}"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685D-406D-A44B-B30893AF1889}"/>
                </c:ext>
              </c:extLst>
            </c:dLbl>
            <c:dLbl>
              <c:idx val="1"/>
              <c:tx>
                <c:rich>
                  <a:bodyPr/>
                  <a:lstStyle/>
                  <a:p>
                    <a:fld id="{E84871D6-45AE-4E1A-96BE-0CC0B9B89564}"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85D-406D-A44B-B30893AF1889}"/>
                </c:ext>
              </c:extLst>
            </c:dLbl>
            <c:dLbl>
              <c:idx val="2"/>
              <c:tx>
                <c:rich>
                  <a:bodyPr/>
                  <a:lstStyle/>
                  <a:p>
                    <a:fld id="{ED1AE7D6-B1F6-459E-B29D-0A4A85B8C6FF}"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85D-406D-A44B-B30893AF1889}"/>
                </c:ext>
              </c:extLst>
            </c:dLbl>
            <c:dLbl>
              <c:idx val="3"/>
              <c:tx>
                <c:rich>
                  <a:bodyPr/>
                  <a:lstStyle/>
                  <a:p>
                    <a:fld id="{F8051FEA-AA60-42F9-B41D-307572C81D6B}"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85D-406D-A44B-B30893AF1889}"/>
                </c:ext>
              </c:extLst>
            </c:dLbl>
            <c:dLbl>
              <c:idx val="4"/>
              <c:tx>
                <c:rich>
                  <a:bodyPr/>
                  <a:lstStyle/>
                  <a:p>
                    <a:fld id="{055ACE1D-BDA4-4B02-A2C0-49529F25469D}"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85D-406D-A44B-B30893AF1889}"/>
                </c:ext>
              </c:extLst>
            </c:dLbl>
            <c:dLbl>
              <c:idx val="5"/>
              <c:tx>
                <c:rich>
                  <a:bodyPr/>
                  <a:lstStyle/>
                  <a:p>
                    <a:fld id="{77EFA7BC-06D6-4AE3-984A-3679B1D5B9B4}" type="CELLRANGE">
                      <a:rPr lang="en-US"/>
                      <a:pPr/>
                      <a:t>[ZELLBEREICH]</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85D-406D-A44B-B30893AF18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'Ergebnisse lange Transportwege'!$B$24:$G$25</c:f>
              <c:multiLvlStrCache>
                <c:ptCount val="6"/>
                <c:lvl>
                  <c:pt idx="0">
                    <c:v>Austausch</c:v>
                  </c:pt>
                  <c:pt idx="1">
                    <c:v>Reparatur</c:v>
                  </c:pt>
                  <c:pt idx="2">
                    <c:v>Austausch</c:v>
                  </c:pt>
                  <c:pt idx="3">
                    <c:v>Reparatur</c:v>
                  </c:pt>
                  <c:pt idx="4">
                    <c:v>Austausch</c:v>
                  </c:pt>
                  <c:pt idx="5">
                    <c:v>Reparatur</c:v>
                  </c:pt>
                </c:lvl>
                <c:lvl>
                  <c:pt idx="0">
                    <c:v>Autotür</c:v>
                  </c:pt>
                  <c:pt idx="2">
                    <c:v>Stoßfänger</c:v>
                  </c:pt>
                  <c:pt idx="4">
                    <c:v>Seitenteil</c:v>
                  </c:pt>
                </c:lvl>
              </c:multiLvlStrCache>
            </c:multiLvlStrRef>
          </c:cat>
          <c:val>
            <c:numRef>
              <c:f>'Ergebnisse Lackfarbe'!$B$33:$G$33</c:f>
              <c:numCache>
                <c:formatCode>General</c:formatCode>
                <c:ptCount val="6"/>
                <c:pt idx="0">
                  <c:v>99.149540962087485</c:v>
                </c:pt>
                <c:pt idx="1">
                  <c:v>54.024385892243615</c:v>
                </c:pt>
                <c:pt idx="2">
                  <c:v>106.00789326301334</c:v>
                </c:pt>
                <c:pt idx="3">
                  <c:v>63.653643534949545</c:v>
                </c:pt>
                <c:pt idx="4">
                  <c:v>229.37102318000996</c:v>
                </c:pt>
                <c:pt idx="5">
                  <c:v>91.088238983554092</c:v>
                </c:pt>
              </c:numCache>
            </c:numRef>
          </c:val>
          <c:smooth val="0"/>
          <c:extLst>
            <c:ext xmlns:c15="http://schemas.microsoft.com/office/drawing/2012/chart" uri="{02D57815-91ED-43cb-92C2-25804820EDAC}">
              <c15:datalabelsRange>
                <c15:f>'Ergebnisse Lackfarbe'!$B$32:$G$32</c15:f>
                <c15:dlblRangeCache>
                  <c:ptCount val="6"/>
                  <c:pt idx="0">
                    <c:v>-0,05%</c:v>
                  </c:pt>
                  <c:pt idx="1">
                    <c:v>-0,06%</c:v>
                  </c:pt>
                  <c:pt idx="2">
                    <c:v>-0,03%</c:v>
                  </c:pt>
                  <c:pt idx="3">
                    <c:v>-0,05%</c:v>
                  </c:pt>
                  <c:pt idx="4">
                    <c:v>-0,02%</c:v>
                  </c:pt>
                  <c:pt idx="5">
                    <c:v>-0,06%</c:v>
                  </c:pt>
                </c15:dlblRangeCache>
              </c15:datalabelsRange>
            </c:ext>
            <c:ext xmlns:c16="http://schemas.microsoft.com/office/drawing/2014/chart" uri="{C3380CC4-5D6E-409C-BE32-E72D297353CC}">
              <c16:uniqueId val="{00000010-685D-406D-A44B-B30893AF1889}"/>
            </c:ext>
          </c:extLst>
        </c:ser>
        <c:dLbls>
          <c:showLegendKey val="0"/>
          <c:showVal val="0"/>
          <c:showCatName val="0"/>
          <c:showSerName val="0"/>
          <c:showPercent val="0"/>
          <c:showBubbleSize val="0"/>
        </c:dLbls>
        <c:marker val="1"/>
        <c:smooth val="0"/>
        <c:axId val="2132302976"/>
        <c:axId val="2132313792"/>
      </c:lineChart>
      <c:catAx>
        <c:axId val="178787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7874224"/>
        <c:crosses val="autoZero"/>
        <c:auto val="1"/>
        <c:lblAlgn val="ctr"/>
        <c:lblOffset val="100"/>
        <c:noMultiLvlLbl val="0"/>
      </c:catAx>
      <c:valAx>
        <c:axId val="1787874224"/>
        <c:scaling>
          <c:orientation val="minMax"/>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de-DE" sz="1800" b="0" i="0" baseline="0">
                    <a:effectLst/>
                  </a:rPr>
                  <a:t>kgCO</a:t>
                </a:r>
                <a:r>
                  <a:rPr lang="de-DE" sz="1800" b="0" i="0" baseline="-25000">
                    <a:effectLst/>
                  </a:rPr>
                  <a:t>2</a:t>
                </a:r>
                <a:r>
                  <a:rPr lang="de-DE" sz="1800" b="0" i="0" baseline="0">
                    <a:effectLst/>
                  </a:rPr>
                  <a:t>Äq./instangesetzter Schaden</a:t>
                </a:r>
                <a:endParaRPr lang="de-DE">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7877968"/>
        <c:crosses val="autoZero"/>
        <c:crossBetween val="between"/>
      </c:valAx>
      <c:valAx>
        <c:axId val="2132313792"/>
        <c:scaling>
          <c:orientation val="minMax"/>
        </c:scaling>
        <c:delete val="1"/>
        <c:axPos val="r"/>
        <c:numFmt formatCode="General" sourceLinked="1"/>
        <c:majorTickMark val="out"/>
        <c:minorTickMark val="none"/>
        <c:tickLblPos val="nextTo"/>
        <c:crossAx val="2132302976"/>
        <c:crosses val="max"/>
        <c:crossBetween val="between"/>
      </c:valAx>
      <c:catAx>
        <c:axId val="2132302976"/>
        <c:scaling>
          <c:orientation val="minMax"/>
        </c:scaling>
        <c:delete val="1"/>
        <c:axPos val="b"/>
        <c:numFmt formatCode="General" sourceLinked="1"/>
        <c:majorTickMark val="out"/>
        <c:minorTickMark val="none"/>
        <c:tickLblPos val="nextTo"/>
        <c:crossAx val="2132313792"/>
        <c:crosses val="autoZero"/>
        <c:auto val="1"/>
        <c:lblAlgn val="ctr"/>
        <c:lblOffset val="100"/>
        <c:noMultiLvlLbl val="0"/>
      </c:catAx>
      <c:spPr>
        <a:noFill/>
        <a:ln>
          <a:solidFill>
            <a:schemeClr val="bg1">
              <a:lumMod val="7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14</xdr:col>
      <xdr:colOff>134937</xdr:colOff>
      <xdr:row>357</xdr:row>
      <xdr:rowOff>469369</xdr:rowOff>
    </xdr:from>
    <xdr:to>
      <xdr:col>20</xdr:col>
      <xdr:colOff>295274</xdr:colOff>
      <xdr:row>372</xdr:row>
      <xdr:rowOff>129740</xdr:rowOff>
    </xdr:to>
    <xdr:pic>
      <xdr:nvPicPr>
        <xdr:cNvPr id="2" name="Grafik 1">
          <a:extLst>
            <a:ext uri="{FF2B5EF4-FFF2-40B4-BE49-F238E27FC236}">
              <a16:creationId xmlns:a16="http://schemas.microsoft.com/office/drawing/2014/main" id="{A1BBB93C-2D50-D1BD-580E-05C97E29D744}"/>
            </a:ext>
          </a:extLst>
        </xdr:cNvPr>
        <xdr:cNvPicPr>
          <a:picLocks noChangeAspect="1"/>
        </xdr:cNvPicPr>
      </xdr:nvPicPr>
      <xdr:blipFill rotWithShape="1">
        <a:blip xmlns:r="http://schemas.openxmlformats.org/officeDocument/2006/relationships" r:embed="rId1"/>
        <a:srcRect l="6392" t="10943" r="56432" b="8082"/>
        <a:stretch/>
      </xdr:blipFill>
      <xdr:spPr>
        <a:xfrm>
          <a:off x="13120687" y="155790369"/>
          <a:ext cx="4732337" cy="34280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301625</xdr:colOff>
      <xdr:row>22</xdr:row>
      <xdr:rowOff>90487</xdr:rowOff>
    </xdr:from>
    <xdr:to>
      <xdr:col>17</xdr:col>
      <xdr:colOff>104776</xdr:colOff>
      <xdr:row>51</xdr:row>
      <xdr:rowOff>80962</xdr:rowOff>
    </xdr:to>
    <xdr:graphicFrame macro="">
      <xdr:nvGraphicFramePr>
        <xdr:cNvPr id="2" name="Diagramm 1">
          <a:extLst>
            <a:ext uri="{FF2B5EF4-FFF2-40B4-BE49-F238E27FC236}">
              <a16:creationId xmlns:a16="http://schemas.microsoft.com/office/drawing/2014/main" id="{84FE7440-F937-4834-B5E7-41638A466F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342900</xdr:colOff>
      <xdr:row>21</xdr:row>
      <xdr:rowOff>44450</xdr:rowOff>
    </xdr:from>
    <xdr:to>
      <xdr:col>17</xdr:col>
      <xdr:colOff>146051</xdr:colOff>
      <xdr:row>50</xdr:row>
      <xdr:rowOff>15875</xdr:rowOff>
    </xdr:to>
    <xdr:graphicFrame macro="">
      <xdr:nvGraphicFramePr>
        <xdr:cNvPr id="2" name="Diagramm 1">
          <a:extLst>
            <a:ext uri="{FF2B5EF4-FFF2-40B4-BE49-F238E27FC236}">
              <a16:creationId xmlns:a16="http://schemas.microsoft.com/office/drawing/2014/main" id="{492C579A-43D4-4E3B-BEDC-51FAD53234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33338</xdr:colOff>
      <xdr:row>21</xdr:row>
      <xdr:rowOff>9525</xdr:rowOff>
    </xdr:from>
    <xdr:to>
      <xdr:col>16</xdr:col>
      <xdr:colOff>671514</xdr:colOff>
      <xdr:row>50</xdr:row>
      <xdr:rowOff>19050</xdr:rowOff>
    </xdr:to>
    <xdr:graphicFrame macro="">
      <xdr:nvGraphicFramePr>
        <xdr:cNvPr id="2" name="Diagramm 1">
          <a:extLst>
            <a:ext uri="{FF2B5EF4-FFF2-40B4-BE49-F238E27FC236}">
              <a16:creationId xmlns:a16="http://schemas.microsoft.com/office/drawing/2014/main" id="{C01E3276-6CDE-4F4A-ADEE-7A9539F9A2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161365</xdr:colOff>
      <xdr:row>76</xdr:row>
      <xdr:rowOff>8965</xdr:rowOff>
    </xdr:from>
    <xdr:to>
      <xdr:col>13</xdr:col>
      <xdr:colOff>25053</xdr:colOff>
      <xdr:row>92</xdr:row>
      <xdr:rowOff>62873</xdr:rowOff>
    </xdr:to>
    <xdr:pic>
      <xdr:nvPicPr>
        <xdr:cNvPr id="3"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2478871" y="14684189"/>
          <a:ext cx="5959688" cy="36829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771525</xdr:colOff>
      <xdr:row>6</xdr:row>
      <xdr:rowOff>87311</xdr:rowOff>
    </xdr:from>
    <xdr:to>
      <xdr:col>14</xdr:col>
      <xdr:colOff>676274</xdr:colOff>
      <xdr:row>26</xdr:row>
      <xdr:rowOff>60324</xdr:rowOff>
    </xdr:to>
    <xdr:graphicFrame macro="">
      <xdr:nvGraphicFramePr>
        <xdr:cNvPr id="2" name="Diagramm 1">
          <a:extLst>
            <a:ext uri="{FF2B5EF4-FFF2-40B4-BE49-F238E27FC236}">
              <a16:creationId xmlns:a16="http://schemas.microsoft.com/office/drawing/2014/main" id="{72BBCD30-5B4A-4C37-963B-E2332A5751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539426</xdr:colOff>
      <xdr:row>17</xdr:row>
      <xdr:rowOff>126162</xdr:rowOff>
    </xdr:from>
    <xdr:to>
      <xdr:col>18</xdr:col>
      <xdr:colOff>104453</xdr:colOff>
      <xdr:row>46</xdr:row>
      <xdr:rowOff>96878</xdr:rowOff>
    </xdr:to>
    <xdr:graphicFrame macro="">
      <xdr:nvGraphicFramePr>
        <xdr:cNvPr id="2" name="Diagramm 1">
          <a:extLst>
            <a:ext uri="{FF2B5EF4-FFF2-40B4-BE49-F238E27FC236}">
              <a16:creationId xmlns:a16="http://schemas.microsoft.com/office/drawing/2014/main" id="{5BE2EC85-534B-4078-9F0B-BF28851E49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373062</xdr:colOff>
      <xdr:row>20</xdr:row>
      <xdr:rowOff>158750</xdr:rowOff>
    </xdr:from>
    <xdr:to>
      <xdr:col>17</xdr:col>
      <xdr:colOff>173038</xdr:colOff>
      <xdr:row>49</xdr:row>
      <xdr:rowOff>149225</xdr:rowOff>
    </xdr:to>
    <xdr:graphicFrame macro="">
      <xdr:nvGraphicFramePr>
        <xdr:cNvPr id="2" name="Diagramm 1">
          <a:extLst>
            <a:ext uri="{FF2B5EF4-FFF2-40B4-BE49-F238E27FC236}">
              <a16:creationId xmlns:a16="http://schemas.microsoft.com/office/drawing/2014/main" id="{5381CA5B-6E55-4BD3-BC95-D8BDAA25BE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295275</xdr:colOff>
      <xdr:row>21</xdr:row>
      <xdr:rowOff>63500</xdr:rowOff>
    </xdr:from>
    <xdr:to>
      <xdr:col>7</xdr:col>
      <xdr:colOff>225424</xdr:colOff>
      <xdr:row>50</xdr:row>
      <xdr:rowOff>57150</xdr:rowOff>
    </xdr:to>
    <xdr:graphicFrame macro="">
      <xdr:nvGraphicFramePr>
        <xdr:cNvPr id="2" name="Diagramm 1">
          <a:extLst>
            <a:ext uri="{FF2B5EF4-FFF2-40B4-BE49-F238E27FC236}">
              <a16:creationId xmlns:a16="http://schemas.microsoft.com/office/drawing/2014/main" id="{7F682CEA-0156-4714-ADE0-831E95FAA0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138113</xdr:colOff>
      <xdr:row>22</xdr:row>
      <xdr:rowOff>134937</xdr:rowOff>
    </xdr:from>
    <xdr:to>
      <xdr:col>16</xdr:col>
      <xdr:colOff>776289</xdr:colOff>
      <xdr:row>51</xdr:row>
      <xdr:rowOff>138112</xdr:rowOff>
    </xdr:to>
    <xdr:graphicFrame macro="">
      <xdr:nvGraphicFramePr>
        <xdr:cNvPr id="2" name="Diagramm 1">
          <a:extLst>
            <a:ext uri="{FF2B5EF4-FFF2-40B4-BE49-F238E27FC236}">
              <a16:creationId xmlns:a16="http://schemas.microsoft.com/office/drawing/2014/main" id="{0AD279BA-8BE2-48A2-9DD7-E3A023B04A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204788</xdr:colOff>
      <xdr:row>22</xdr:row>
      <xdr:rowOff>41274</xdr:rowOff>
    </xdr:from>
    <xdr:to>
      <xdr:col>7</xdr:col>
      <xdr:colOff>252412</xdr:colOff>
      <xdr:row>51</xdr:row>
      <xdr:rowOff>9524</xdr:rowOff>
    </xdr:to>
    <xdr:graphicFrame macro="">
      <xdr:nvGraphicFramePr>
        <xdr:cNvPr id="2" name="Diagramm 1">
          <a:extLst>
            <a:ext uri="{FF2B5EF4-FFF2-40B4-BE49-F238E27FC236}">
              <a16:creationId xmlns:a16="http://schemas.microsoft.com/office/drawing/2014/main" id="{A9FF851D-15DE-4D94-B32B-26477ED89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xdr:col>
      <xdr:colOff>247650</xdr:colOff>
      <xdr:row>21</xdr:row>
      <xdr:rowOff>185738</xdr:rowOff>
    </xdr:from>
    <xdr:to>
      <xdr:col>11</xdr:col>
      <xdr:colOff>828675</xdr:colOff>
      <xdr:row>50</xdr:row>
      <xdr:rowOff>157163</xdr:rowOff>
    </xdr:to>
    <xdr:graphicFrame macro="">
      <xdr:nvGraphicFramePr>
        <xdr:cNvPr id="2" name="Diagramm 1">
          <a:extLst>
            <a:ext uri="{FF2B5EF4-FFF2-40B4-BE49-F238E27FC236}">
              <a16:creationId xmlns:a16="http://schemas.microsoft.com/office/drawing/2014/main" id="{0A881E7E-ADDF-4D54-90C0-2A23F66AC5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Larissa">
  <a:themeElements>
    <a:clrScheme name="Fraunhofer">
      <a:dk1>
        <a:srgbClr val="000000"/>
      </a:dk1>
      <a:lt1>
        <a:sysClr val="window" lastClr="FFFFFF"/>
      </a:lt1>
      <a:dk2>
        <a:srgbClr val="179C7D"/>
      </a:dk2>
      <a:lt2>
        <a:srgbClr val="A8AFAF"/>
      </a:lt2>
      <a:accent1>
        <a:srgbClr val="EB6A0A"/>
      </a:accent1>
      <a:accent2>
        <a:srgbClr val="25BAE2"/>
      </a:accent2>
      <a:accent3>
        <a:srgbClr val="006E92"/>
      </a:accent3>
      <a:accent4>
        <a:srgbClr val="B1C800"/>
      </a:accent4>
      <a:accent5>
        <a:srgbClr val="FFFAD1"/>
      </a:accent5>
      <a:accent6>
        <a:srgbClr val="D4E6F4"/>
      </a:accent6>
      <a:hlink>
        <a:srgbClr val="006E92"/>
      </a:hlink>
      <a:folHlink>
        <a:srgbClr val="99CCFF"/>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bauprofessor.de/wirtschaftliche-nutzungsdauer-gebaeud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6"/>
  <sheetViews>
    <sheetView workbookViewId="0">
      <selection activeCell="B23" sqref="B23"/>
    </sheetView>
  </sheetViews>
  <sheetFormatPr baseColWidth="10" defaultColWidth="11.44140625" defaultRowHeight="13.2" x14ac:dyDescent="0.25"/>
  <cols>
    <col min="1" max="1" width="34.88671875" style="40" customWidth="1"/>
    <col min="2" max="16384" width="11.44140625" style="40"/>
  </cols>
  <sheetData>
    <row r="1" spans="1:12" s="38" customFormat="1" ht="14.4" x14ac:dyDescent="0.3">
      <c r="A1" s="37" t="s">
        <v>882</v>
      </c>
      <c r="B1" s="37"/>
    </row>
    <row r="3" spans="1:12" s="38" customFormat="1" ht="14.4" x14ac:dyDescent="0.3">
      <c r="A3" s="37" t="s">
        <v>0</v>
      </c>
      <c r="B3" s="37"/>
    </row>
    <row r="4" spans="1:12" ht="13.8" x14ac:dyDescent="0.25">
      <c r="A4" s="39"/>
    </row>
    <row r="5" spans="1:12" ht="13.8" x14ac:dyDescent="0.25">
      <c r="A5" s="39" t="s">
        <v>883</v>
      </c>
      <c r="B5" s="39" t="s">
        <v>989</v>
      </c>
      <c r="C5" s="39"/>
      <c r="D5" s="39"/>
      <c r="E5" s="39"/>
      <c r="F5" s="39"/>
      <c r="G5" s="39"/>
      <c r="H5" s="39"/>
      <c r="I5" s="39"/>
      <c r="J5" s="39"/>
      <c r="K5" s="39"/>
      <c r="L5" s="39"/>
    </row>
    <row r="6" spans="1:12" ht="13.8" x14ac:dyDescent="0.25">
      <c r="A6" s="39" t="s">
        <v>884</v>
      </c>
      <c r="B6" s="39" t="s">
        <v>990</v>
      </c>
      <c r="C6" s="39"/>
      <c r="D6" s="39"/>
      <c r="E6" s="39"/>
      <c r="F6" s="39"/>
      <c r="G6" s="39"/>
      <c r="H6" s="39"/>
      <c r="I6" s="39"/>
      <c r="J6" s="39"/>
      <c r="K6" s="39"/>
      <c r="L6" s="39"/>
    </row>
    <row r="7" spans="1:12" ht="13.8" x14ac:dyDescent="0.25">
      <c r="A7" s="39" t="s">
        <v>885</v>
      </c>
      <c r="B7" s="39" t="s">
        <v>991</v>
      </c>
      <c r="C7" s="39"/>
      <c r="D7" s="39"/>
      <c r="E7" s="39"/>
      <c r="F7" s="39"/>
      <c r="G7" s="39"/>
      <c r="H7" s="39"/>
      <c r="I7" s="39"/>
      <c r="J7" s="39"/>
      <c r="K7" s="39"/>
      <c r="L7" s="39"/>
    </row>
    <row r="8" spans="1:12" ht="13.8" x14ac:dyDescent="0.25">
      <c r="A8" s="39" t="s">
        <v>886</v>
      </c>
      <c r="B8" s="39" t="s">
        <v>992</v>
      </c>
      <c r="C8" s="39"/>
      <c r="D8" s="39"/>
      <c r="E8" s="39"/>
      <c r="F8" s="39"/>
      <c r="G8" s="39"/>
      <c r="H8" s="39"/>
      <c r="I8" s="39"/>
      <c r="J8" s="39"/>
      <c r="K8" s="39"/>
      <c r="L8" s="39"/>
    </row>
    <row r="9" spans="1:12" ht="13.8" x14ac:dyDescent="0.25">
      <c r="A9" s="39" t="s">
        <v>887</v>
      </c>
      <c r="B9" s="39" t="s">
        <v>993</v>
      </c>
      <c r="C9" s="39"/>
      <c r="D9" s="39"/>
      <c r="E9" s="39"/>
      <c r="F9" s="39"/>
      <c r="G9" s="39"/>
      <c r="H9" s="39"/>
      <c r="I9" s="39"/>
      <c r="J9" s="39"/>
      <c r="K9" s="39"/>
      <c r="L9" s="39"/>
    </row>
    <row r="10" spans="1:12" ht="13.8" x14ac:dyDescent="0.25">
      <c r="A10" s="39" t="s">
        <v>1013</v>
      </c>
      <c r="B10" s="39" t="s">
        <v>979</v>
      </c>
      <c r="C10" s="39"/>
      <c r="D10" s="39"/>
      <c r="E10" s="39"/>
      <c r="F10" s="39"/>
      <c r="G10" s="39"/>
      <c r="H10" s="39"/>
      <c r="I10" s="39"/>
      <c r="J10" s="39"/>
      <c r="K10" s="39"/>
      <c r="L10" s="39"/>
    </row>
    <row r="11" spans="1:12" ht="13.8" x14ac:dyDescent="0.25">
      <c r="A11" s="39" t="s">
        <v>970</v>
      </c>
      <c r="B11" s="39" t="s">
        <v>978</v>
      </c>
      <c r="C11" s="39"/>
      <c r="D11" s="39"/>
      <c r="E11" s="39"/>
      <c r="F11" s="39"/>
      <c r="G11" s="39"/>
      <c r="H11" s="39"/>
      <c r="I11" s="39"/>
      <c r="J11" s="39"/>
      <c r="K11" s="39"/>
      <c r="L11" s="39"/>
    </row>
    <row r="12" spans="1:12" ht="13.8" x14ac:dyDescent="0.25">
      <c r="A12" s="39" t="s">
        <v>971</v>
      </c>
      <c r="B12" s="39" t="s">
        <v>980</v>
      </c>
      <c r="C12" s="39"/>
      <c r="D12" s="39"/>
      <c r="E12" s="39"/>
      <c r="F12" s="39"/>
      <c r="G12" s="39"/>
      <c r="H12" s="39"/>
      <c r="I12" s="39"/>
      <c r="J12" s="39"/>
      <c r="K12" s="39"/>
      <c r="L12" s="39"/>
    </row>
    <row r="13" spans="1:12" ht="13.8" x14ac:dyDescent="0.25">
      <c r="A13" s="39" t="s">
        <v>972</v>
      </c>
      <c r="B13" s="39" t="s">
        <v>981</v>
      </c>
      <c r="C13" s="39"/>
      <c r="D13" s="39"/>
      <c r="E13" s="39"/>
      <c r="F13" s="39"/>
      <c r="G13" s="39"/>
      <c r="H13" s="39"/>
      <c r="I13" s="39"/>
      <c r="J13" s="39"/>
      <c r="K13" s="39"/>
      <c r="L13" s="39"/>
    </row>
    <row r="14" spans="1:12" ht="13.8" x14ac:dyDescent="0.25">
      <c r="A14" s="39" t="s">
        <v>973</v>
      </c>
      <c r="B14" s="39" t="s">
        <v>982</v>
      </c>
      <c r="C14" s="39"/>
      <c r="D14" s="39"/>
      <c r="E14" s="39"/>
      <c r="F14" s="39"/>
      <c r="G14" s="39"/>
      <c r="H14" s="39"/>
      <c r="I14" s="39"/>
      <c r="J14" s="39"/>
      <c r="K14" s="39"/>
      <c r="L14" s="39"/>
    </row>
    <row r="15" spans="1:12" ht="14.25" customHeight="1" x14ac:dyDescent="0.25">
      <c r="A15" s="39" t="s">
        <v>974</v>
      </c>
      <c r="B15" s="39" t="s">
        <v>985</v>
      </c>
      <c r="C15" s="39"/>
      <c r="D15" s="39"/>
      <c r="E15" s="39"/>
      <c r="F15" s="39"/>
      <c r="G15" s="39"/>
      <c r="H15" s="39"/>
      <c r="I15" s="39"/>
      <c r="J15" s="39"/>
      <c r="K15" s="39"/>
      <c r="L15" s="39"/>
    </row>
    <row r="16" spans="1:12" ht="15" customHeight="1" x14ac:dyDescent="0.25">
      <c r="A16" s="39" t="s">
        <v>983</v>
      </c>
      <c r="B16" s="39" t="s">
        <v>984</v>
      </c>
      <c r="C16" s="39"/>
      <c r="D16" s="39"/>
      <c r="E16" s="39"/>
      <c r="F16" s="39"/>
      <c r="G16" s="39"/>
      <c r="H16" s="39"/>
      <c r="I16" s="39"/>
      <c r="J16" s="39"/>
      <c r="K16" s="39"/>
      <c r="L16" s="39"/>
    </row>
    <row r="17" spans="1:12" ht="13.8" x14ac:dyDescent="0.25">
      <c r="A17" s="39" t="s">
        <v>975</v>
      </c>
      <c r="B17" s="39" t="s">
        <v>988</v>
      </c>
      <c r="C17" s="39"/>
      <c r="D17" s="39"/>
      <c r="E17" s="39"/>
      <c r="F17" s="39"/>
      <c r="G17" s="39"/>
      <c r="H17" s="39"/>
      <c r="I17" s="39"/>
      <c r="J17" s="39"/>
      <c r="K17" s="39"/>
      <c r="L17" s="39"/>
    </row>
    <row r="18" spans="1:12" ht="13.8" x14ac:dyDescent="0.25">
      <c r="A18" s="39" t="s">
        <v>976</v>
      </c>
      <c r="B18" s="39" t="s">
        <v>987</v>
      </c>
      <c r="C18" s="39"/>
      <c r="D18" s="39"/>
      <c r="E18" s="39"/>
      <c r="F18" s="39"/>
      <c r="G18" s="39"/>
      <c r="H18" s="39"/>
      <c r="I18" s="39"/>
      <c r="J18" s="39"/>
      <c r="K18" s="39"/>
      <c r="L18" s="39"/>
    </row>
    <row r="19" spans="1:12" ht="13.8" x14ac:dyDescent="0.25">
      <c r="A19" s="39" t="s">
        <v>977</v>
      </c>
      <c r="B19" s="39" t="s">
        <v>986</v>
      </c>
      <c r="C19" s="39"/>
      <c r="D19" s="39"/>
      <c r="E19" s="39"/>
      <c r="F19" s="39"/>
      <c r="G19" s="39"/>
      <c r="H19" s="39"/>
      <c r="I19" s="39"/>
      <c r="J19" s="39"/>
      <c r="K19" s="39"/>
      <c r="L19" s="39"/>
    </row>
    <row r="20" spans="1:12" ht="13.8" x14ac:dyDescent="0.25">
      <c r="A20" s="39"/>
    </row>
    <row r="21" spans="1:12" s="38" customFormat="1" ht="14.4" x14ac:dyDescent="0.3">
      <c r="A21" s="37" t="s">
        <v>2</v>
      </c>
      <c r="B21" s="37"/>
    </row>
    <row r="22" spans="1:12" ht="13.8" x14ac:dyDescent="0.25">
      <c r="A22" s="41"/>
    </row>
    <row r="23" spans="1:12" ht="13.8" x14ac:dyDescent="0.25">
      <c r="A23" s="41" t="s">
        <v>995</v>
      </c>
      <c r="B23" s="41" t="s">
        <v>888</v>
      </c>
    </row>
    <row r="24" spans="1:12" ht="13.8" x14ac:dyDescent="0.25">
      <c r="A24" s="41" t="s">
        <v>3</v>
      </c>
      <c r="B24" s="41" t="s">
        <v>889</v>
      </c>
    </row>
    <row r="25" spans="1:12" ht="13.8" x14ac:dyDescent="0.25">
      <c r="A25" s="41"/>
    </row>
    <row r="26" spans="1:12" ht="13.8" x14ac:dyDescent="0.3">
      <c r="A26" s="41" t="s">
        <v>4</v>
      </c>
      <c r="B26" s="42">
        <v>45047</v>
      </c>
    </row>
  </sheetData>
  <pageMargins left="0.78740157499999996" right="0.78740157499999996" top="0.984251969" bottom="0.984251969" header="0.4921259845" footer="0.4921259845"/>
  <pageSetup paperSize="9" orientation="landscape" r:id="rId1"/>
  <headerFooter alignWithMargins="0">
    <oddFooter>&amp;L&amp;F&amp;C&amp;A&amp;RSeite &amp;P von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4E2C0-8E04-45CC-B0DE-10BFD3E25783}">
  <dimension ref="A1:L33"/>
  <sheetViews>
    <sheetView topLeftCell="A13" workbookViewId="0">
      <selection activeCell="A22" sqref="A22"/>
    </sheetView>
  </sheetViews>
  <sheetFormatPr baseColWidth="10" defaultColWidth="11.44140625" defaultRowHeight="14.4" x14ac:dyDescent="0.3"/>
  <cols>
    <col min="1" max="1" width="92.88671875" style="185" bestFit="1" customWidth="1"/>
    <col min="2" max="16384" width="11.44140625" style="185"/>
  </cols>
  <sheetData>
    <row r="1" spans="1:12" x14ac:dyDescent="0.3">
      <c r="A1" s="185" t="s">
        <v>890</v>
      </c>
      <c r="B1" s="185" t="s">
        <v>893</v>
      </c>
      <c r="C1" s="185" t="s">
        <v>894</v>
      </c>
      <c r="D1" s="185" t="s">
        <v>897</v>
      </c>
      <c r="H1" s="185" t="s">
        <v>893</v>
      </c>
      <c r="I1" s="185" t="s">
        <v>894</v>
      </c>
      <c r="L1" s="185" t="s">
        <v>893</v>
      </c>
    </row>
    <row r="2" spans="1:12" x14ac:dyDescent="0.3">
      <c r="A2" s="185" t="s">
        <v>901</v>
      </c>
      <c r="B2" s="191">
        <v>0.23723675386153531</v>
      </c>
      <c r="C2" s="191">
        <v>0.13865856100212481</v>
      </c>
      <c r="D2" s="185" t="s">
        <v>902</v>
      </c>
      <c r="G2" s="185" t="s">
        <v>901</v>
      </c>
      <c r="H2" s="192">
        <f>(
VLOOKUP($G2,$A$2:$E$18,HLOOKUP(H$1,$B$1:$E$19,19,FALSE)+1,FALSE)
-
VLOOKUP($G2,'Ergebnisse Basisszenario'!$A$1:$H$21,HLOOKUP(H$1,'Ergebnisse Basisszenario'!$B$1:$G$21,21,FALSE)+1,FALSE)
)
/
VLOOKUP($G2,'Ergebnisse Basisszenario'!$A$1:$H$21,HLOOKUP(H$1,'Ergebnisse Basisszenario'!$B$1:$G$21,21,FALSE)+1,FALSE)</f>
        <v>-1.8414056847956453E-2</v>
      </c>
      <c r="I2" s="192">
        <f>(
VLOOKUP($G2,$A$2:$E$18,HLOOKUP(I$1,$B$1:$E$19,19,FALSE)+1,FALSE)
-
VLOOKUP($G2,'Ergebnisse Basisszenario'!$A$1:$H$21,HLOOKUP(I$1,'Ergebnisse Basisszenario'!$B$1:$G$21,21,FALSE)+1,FALSE)
)
/
VLOOKUP($G2,'Ergebnisse Basisszenario'!$A$1:$H$21,HLOOKUP(I$1,'Ergebnisse Basisszenario'!$B$1:$G$21,21,FALSE)+1,FALSE)</f>
        <v>0</v>
      </c>
      <c r="K2" s="185" t="s">
        <v>901</v>
      </c>
      <c r="L2" s="185" t="b">
        <f>IF(
IF((VLOOKUP($K2,$A$2:$E$18,HLOOKUP(L$1,$B$1:$E$19,19,FALSE)+1,FALSE)-VLOOKUP($K2,$A$2:$E$18,HLOOKUP(L$1,$B$1:$E$19,19,FALSE)+2,FALSE))&lt;0,TRUE,FALSE)
=
IF((VLOOKUP($K2,'Ergebnisse Basisszenario'!$A$2:$G$20,HLOOKUP(L$1,'Ergebnisse Basisszenario'!$B$1:$G$21,21,FALSE)+1,FALSE)-VLOOKUP($K2,'Ergebnisse Basisszenario'!$A$2:$G$20,HLOOKUP(L$1,'Ergebnisse Basisszenario'!$B$1:$G$21,21,FALSE)+2,FALSE))&lt;0,TRUE,FALSE),
TRUE,FALSE)</f>
        <v>1</v>
      </c>
    </row>
    <row r="3" spans="1:12" x14ac:dyDescent="0.3">
      <c r="A3" s="185" t="s">
        <v>903</v>
      </c>
      <c r="B3" s="191">
        <v>70.793385579606095</v>
      </c>
      <c r="C3" s="191">
        <v>60.622517652332903</v>
      </c>
      <c r="D3" s="185" t="s">
        <v>904</v>
      </c>
      <c r="G3" s="185" t="s">
        <v>903</v>
      </c>
      <c r="H3" s="192">
        <f>(
VLOOKUP($G3,$A$2:$E$18,HLOOKUP(H$1,$B$1:$E$19,19,FALSE)+1,FALSE)
-
VLOOKUP($G3,'Ergebnisse Basisszenario'!$A$1:$H$21,HLOOKUP(H$1,'Ergebnisse Basisszenario'!$B$1:$G$21,21,FALSE)+1,FALSE)
)
/
VLOOKUP($G3,'Ergebnisse Basisszenario'!$A$1:$H$21,HLOOKUP(H$1,'Ergebnisse Basisszenario'!$B$1:$G$21,21,FALSE)+1,FALSE)</f>
        <v>-0.29879698038936925</v>
      </c>
      <c r="I3" s="192">
        <f>(
VLOOKUP($G3,$A$2:$E$18,HLOOKUP(I$1,$B$1:$E$19,19,FALSE)+1,FALSE)
-
VLOOKUP($G3,'Ergebnisse Basisszenario'!$A$1:$H$21,HLOOKUP(I$1,'Ergebnisse Basisszenario'!$B$1:$G$21,21,FALSE)+1,FALSE)
)
/
VLOOKUP($G3,'Ergebnisse Basisszenario'!$A$1:$H$21,HLOOKUP(I$1,'Ergebnisse Basisszenario'!$B$1:$G$21,21,FALSE)+1,FALSE)</f>
        <v>0</v>
      </c>
      <c r="K3" s="185" t="s">
        <v>903</v>
      </c>
      <c r="L3" s="185" t="b">
        <f>IF(
IF((VLOOKUP($K3,$A$2:$E$18,HLOOKUP(L$1,$B$1:$E$19,19,FALSE)+1,FALSE)-VLOOKUP($K3,$A$2:$E$18,HLOOKUP(L$1,$B$1:$E$19,19,FALSE)+2,FALSE))&lt;0,TRUE,FALSE)
=
IF((VLOOKUP($K3,'Ergebnisse Basisszenario'!$A$2:$G$20,HLOOKUP(L$1,'Ergebnisse Basisszenario'!$B$1:$G$21,21,FALSE)+1,FALSE)-VLOOKUP($K3,'Ergebnisse Basisszenario'!$A$2:$G$20,HLOOKUP(L$1,'Ergebnisse Basisszenario'!$B$1:$G$21,21,FALSE)+2,FALSE))&lt;0,TRUE,FALSE),
TRUE,FALSE)</f>
        <v>1</v>
      </c>
    </row>
    <row r="4" spans="1:12" x14ac:dyDescent="0.3">
      <c r="A4" s="185" t="s">
        <v>906</v>
      </c>
      <c r="B4" s="191">
        <v>70.493140473989314</v>
      </c>
      <c r="C4" s="191">
        <v>60.242299402801642</v>
      </c>
      <c r="D4" s="185" t="s">
        <v>904</v>
      </c>
      <c r="G4" s="185" t="s">
        <v>906</v>
      </c>
      <c r="H4" s="192">
        <f>(
VLOOKUP($G4,$A$2:$E$18,HLOOKUP(H$1,$B$1:$E$19,19,FALSE)+1,FALSE)
-
VLOOKUP($G4,'Ergebnisse Basisszenario'!$A$1:$H$21,HLOOKUP(H$1,'Ergebnisse Basisszenario'!$B$1:$G$21,21,FALSE)+1,FALSE)
)
/
VLOOKUP($G4,'Ergebnisse Basisszenario'!$A$1:$H$21,HLOOKUP(H$1,'Ergebnisse Basisszenario'!$B$1:$G$21,21,FALSE)+1,FALSE)</f>
        <v>-0.299685149161946</v>
      </c>
      <c r="I4" s="192">
        <f>(
VLOOKUP($G4,$A$2:$E$18,HLOOKUP(I$1,$B$1:$E$19,19,FALSE)+1,FALSE)
-
VLOOKUP($G4,'Ergebnisse Basisszenario'!$A$1:$H$21,HLOOKUP(I$1,'Ergebnisse Basisszenario'!$B$1:$G$21,21,FALSE)+1,FALSE)
)
/
VLOOKUP($G4,'Ergebnisse Basisszenario'!$A$1:$H$21,HLOOKUP(I$1,'Ergebnisse Basisszenario'!$B$1:$G$21,21,FALSE)+1,FALSE)</f>
        <v>0</v>
      </c>
      <c r="K4" s="185" t="s">
        <v>906</v>
      </c>
      <c r="L4" s="185" t="b">
        <f>IF(
IF((VLOOKUP($K4,$A$2:$E$18,HLOOKUP(L$1,$B$1:$E$19,19,FALSE)+1,FALSE)-VLOOKUP($K4,$A$2:$E$18,HLOOKUP(L$1,$B$1:$E$19,19,FALSE)+2,FALSE))&lt;0,TRUE,FALSE)
=
IF((VLOOKUP($K4,'Ergebnisse Basisszenario'!$A$2:$G$20,HLOOKUP(L$1,'Ergebnisse Basisszenario'!$B$1:$G$21,21,FALSE)+1,FALSE)-VLOOKUP($K4,'Ergebnisse Basisszenario'!$A$2:$G$20,HLOOKUP(L$1,'Ergebnisse Basisszenario'!$B$1:$G$21,21,FALSE)+2,FALSE))&lt;0,TRUE,FALSE),
TRUE,FALSE)</f>
        <v>1</v>
      </c>
    </row>
    <row r="5" spans="1:12" x14ac:dyDescent="0.3">
      <c r="A5" s="185" t="s">
        <v>908</v>
      </c>
      <c r="B5" s="191">
        <v>793.10807657542375</v>
      </c>
      <c r="C5" s="191">
        <v>541.98479464177558</v>
      </c>
      <c r="D5" s="185" t="s">
        <v>909</v>
      </c>
      <c r="G5" s="185" t="s">
        <v>908</v>
      </c>
      <c r="H5" s="192">
        <f>(
VLOOKUP($G5,$A$2:$E$18,HLOOKUP(H$1,$B$1:$E$19,19,FALSE)+1,FALSE)
-
VLOOKUP($G5,'Ergebnisse Basisszenario'!$A$1:$H$21,HLOOKUP(H$1,'Ergebnisse Basisszenario'!$B$1:$G$21,21,FALSE)+1,FALSE)
)
/
VLOOKUP($G5,'Ergebnisse Basisszenario'!$A$1:$H$21,HLOOKUP(H$1,'Ergebnisse Basisszenario'!$B$1:$G$21,21,FALSE)+1,FALSE)</f>
        <v>-1.0591706280210495E-2</v>
      </c>
      <c r="I5" s="192">
        <f>(
VLOOKUP($G5,$A$2:$E$18,HLOOKUP(I$1,$B$1:$E$19,19,FALSE)+1,FALSE)
-
VLOOKUP($G5,'Ergebnisse Basisszenario'!$A$1:$H$21,HLOOKUP(I$1,'Ergebnisse Basisszenario'!$B$1:$G$21,21,FALSE)+1,FALSE)
)
/
VLOOKUP($G5,'Ergebnisse Basisszenario'!$A$1:$H$21,HLOOKUP(I$1,'Ergebnisse Basisszenario'!$B$1:$G$21,21,FALSE)+1,FALSE)</f>
        <v>0</v>
      </c>
      <c r="K5" s="185" t="s">
        <v>908</v>
      </c>
      <c r="L5" s="185" t="b">
        <f>IF(
IF((VLOOKUP($K5,$A$2:$E$18,HLOOKUP(L$1,$B$1:$E$19,19,FALSE)+1,FALSE)-VLOOKUP($K5,$A$2:$E$18,HLOOKUP(L$1,$B$1:$E$19,19,FALSE)+2,FALSE))&lt;0,TRUE,FALSE)
=
IF((VLOOKUP($K5,'Ergebnisse Basisszenario'!$A$2:$G$20,HLOOKUP(L$1,'Ergebnisse Basisszenario'!$B$1:$G$21,21,FALSE)+1,FALSE)-VLOOKUP($K5,'Ergebnisse Basisszenario'!$A$2:$G$20,HLOOKUP(L$1,'Ergebnisse Basisszenario'!$B$1:$G$21,21,FALSE)+2,FALSE))&lt;0,TRUE,FALSE),
TRUE,FALSE)</f>
        <v>1</v>
      </c>
    </row>
    <row r="6" spans="1:12" x14ac:dyDescent="0.3">
      <c r="A6" s="185" t="s">
        <v>910</v>
      </c>
      <c r="B6" s="191">
        <v>1433.120099878088</v>
      </c>
      <c r="C6" s="191">
        <v>923.98149267372241</v>
      </c>
      <c r="D6" s="185" t="s">
        <v>911</v>
      </c>
      <c r="G6" s="185" t="s">
        <v>910</v>
      </c>
      <c r="H6" s="192">
        <f>(
VLOOKUP($G6,$A$2:$E$18,HLOOKUP(H$1,$B$1:$E$19,19,FALSE)+1,FALSE)
-
VLOOKUP($G6,'Ergebnisse Basisszenario'!$A$1:$H$21,HLOOKUP(H$1,'Ergebnisse Basisszenario'!$B$1:$G$21,21,FALSE)+1,FALSE)
)
/
VLOOKUP($G6,'Ergebnisse Basisszenario'!$A$1:$H$21,HLOOKUP(H$1,'Ergebnisse Basisszenario'!$B$1:$G$21,21,FALSE)+1,FALSE)</f>
        <v>-2.9097609761506121E-3</v>
      </c>
      <c r="I6" s="192">
        <f>(
VLOOKUP($G6,$A$2:$E$18,HLOOKUP(I$1,$B$1:$E$19,19,FALSE)+1,FALSE)
-
VLOOKUP($G6,'Ergebnisse Basisszenario'!$A$1:$H$21,HLOOKUP(I$1,'Ergebnisse Basisszenario'!$B$1:$G$21,21,FALSE)+1,FALSE)
)
/
VLOOKUP($G6,'Ergebnisse Basisszenario'!$A$1:$H$21,HLOOKUP(I$1,'Ergebnisse Basisszenario'!$B$1:$G$21,21,FALSE)+1,FALSE)</f>
        <v>0</v>
      </c>
      <c r="K6" s="185" t="s">
        <v>910</v>
      </c>
      <c r="L6" s="185" t="b">
        <f>IF(
IF((VLOOKUP($K6,$A$2:$E$18,HLOOKUP(L$1,$B$1:$E$19,19,FALSE)+1,FALSE)-VLOOKUP($K6,$A$2:$E$18,HLOOKUP(L$1,$B$1:$E$19,19,FALSE)+2,FALSE))&lt;0,TRUE,FALSE)
=
IF((VLOOKUP($K6,'Ergebnisse Basisszenario'!$A$2:$G$20,HLOOKUP(L$1,'Ergebnisse Basisszenario'!$B$1:$G$21,21,FALSE)+1,FALSE)-VLOOKUP($K6,'Ergebnisse Basisszenario'!$A$2:$G$20,HLOOKUP(L$1,'Ergebnisse Basisszenario'!$B$1:$G$21,21,FALSE)+2,FALSE))&lt;0,TRUE,FALSE),
TRUE,FALSE)</f>
        <v>1</v>
      </c>
    </row>
    <row r="7" spans="1:12" x14ac:dyDescent="0.3">
      <c r="A7" s="185" t="s">
        <v>912</v>
      </c>
      <c r="B7" s="191">
        <v>2.7833950282133531E-2</v>
      </c>
      <c r="C7" s="191">
        <v>3.6889814548854781E-2</v>
      </c>
      <c r="D7" s="185" t="s">
        <v>913</v>
      </c>
      <c r="G7" s="185" t="s">
        <v>912</v>
      </c>
      <c r="H7" s="192">
        <f>(
VLOOKUP($G7,$A$2:$E$18,HLOOKUP(H$1,$B$1:$E$19,19,FALSE)+1,FALSE)
-
VLOOKUP($G7,'Ergebnisse Basisszenario'!$A$1:$H$21,HLOOKUP(H$1,'Ergebnisse Basisszenario'!$B$1:$G$21,21,FALSE)+1,FALSE)
)
/
VLOOKUP($G7,'Ergebnisse Basisszenario'!$A$1:$H$21,HLOOKUP(H$1,'Ergebnisse Basisszenario'!$B$1:$G$21,21,FALSE)+1,FALSE)</f>
        <v>-1.5540801641297313E-3</v>
      </c>
      <c r="I7" s="192">
        <f>(
VLOOKUP($G7,$A$2:$E$18,HLOOKUP(I$1,$B$1:$E$19,19,FALSE)+1,FALSE)
-
VLOOKUP($G7,'Ergebnisse Basisszenario'!$A$1:$H$21,HLOOKUP(I$1,'Ergebnisse Basisszenario'!$B$1:$G$21,21,FALSE)+1,FALSE)
)
/
VLOOKUP($G7,'Ergebnisse Basisszenario'!$A$1:$H$21,HLOOKUP(I$1,'Ergebnisse Basisszenario'!$B$1:$G$21,21,FALSE)+1,FALSE)</f>
        <v>0</v>
      </c>
      <c r="K7" s="185" t="s">
        <v>912</v>
      </c>
      <c r="L7" s="185" t="b">
        <f>IF(
IF((VLOOKUP($K7,$A$2:$E$18,HLOOKUP(L$1,$B$1:$E$19,19,FALSE)+1,FALSE)-VLOOKUP($K7,$A$2:$E$18,HLOOKUP(L$1,$B$1:$E$19,19,FALSE)+2,FALSE))&lt;0,TRUE,FALSE)
=
IF((VLOOKUP($K7,'Ergebnisse Basisszenario'!$A$2:$G$20,HLOOKUP(L$1,'Ergebnisse Basisszenario'!$B$1:$G$21,21,FALSE)+1,FALSE)-VLOOKUP($K7,'Ergebnisse Basisszenario'!$A$2:$G$20,HLOOKUP(L$1,'Ergebnisse Basisszenario'!$B$1:$G$21,21,FALSE)+2,FALSE))&lt;0,TRUE,FALSE),
TRUE,FALSE)</f>
        <v>1</v>
      </c>
    </row>
    <row r="8" spans="1:12" x14ac:dyDescent="0.3">
      <c r="A8" s="185" t="s">
        <v>914</v>
      </c>
      <c r="B8" s="191">
        <v>4.8944359832795381E-2</v>
      </c>
      <c r="C8" s="191">
        <v>3.4505488940419902E-2</v>
      </c>
      <c r="D8" s="185" t="s">
        <v>915</v>
      </c>
      <c r="G8" s="185" t="s">
        <v>914</v>
      </c>
      <c r="H8" s="192">
        <f>(
VLOOKUP($G8,$A$2:$E$18,HLOOKUP(H$1,$B$1:$E$19,19,FALSE)+1,FALSE)
-
VLOOKUP($G8,'Ergebnisse Basisszenario'!$A$1:$H$21,HLOOKUP(H$1,'Ergebnisse Basisszenario'!$B$1:$G$21,21,FALSE)+1,FALSE)
)
/
VLOOKUP($G8,'Ergebnisse Basisszenario'!$A$1:$H$21,HLOOKUP(H$1,'Ergebnisse Basisszenario'!$B$1:$G$21,21,FALSE)+1,FALSE)</f>
        <v>-4.2720339182022733E-2</v>
      </c>
      <c r="I8" s="192">
        <f>(
VLOOKUP($G8,$A$2:$E$18,HLOOKUP(I$1,$B$1:$E$19,19,FALSE)+1,FALSE)
-
VLOOKUP($G8,'Ergebnisse Basisszenario'!$A$1:$H$21,HLOOKUP(I$1,'Ergebnisse Basisszenario'!$B$1:$G$21,21,FALSE)+1,FALSE)
)
/
VLOOKUP($G8,'Ergebnisse Basisszenario'!$A$1:$H$21,HLOOKUP(I$1,'Ergebnisse Basisszenario'!$B$1:$G$21,21,FALSE)+1,FALSE)</f>
        <v>0</v>
      </c>
      <c r="K8" s="185" t="s">
        <v>914</v>
      </c>
      <c r="L8" s="185" t="b">
        <f>IF(
IF((VLOOKUP($K8,$A$2:$E$18,HLOOKUP(L$1,$B$1:$E$19,19,FALSE)+1,FALSE)-VLOOKUP($K8,$A$2:$E$18,HLOOKUP(L$1,$B$1:$E$19,19,FALSE)+2,FALSE))&lt;0,TRUE,FALSE)
=
IF((VLOOKUP($K8,'Ergebnisse Basisszenario'!$A$2:$G$20,HLOOKUP(L$1,'Ergebnisse Basisszenario'!$B$1:$G$21,21,FALSE)+1,FALSE)-VLOOKUP($K8,'Ergebnisse Basisszenario'!$A$2:$G$20,HLOOKUP(L$1,'Ergebnisse Basisszenario'!$B$1:$G$21,21,FALSE)+2,FALSE))&lt;0,TRUE,FALSE),
TRUE,FALSE)</f>
        <v>1</v>
      </c>
    </row>
    <row r="9" spans="1:12" x14ac:dyDescent="0.3">
      <c r="A9" s="185" t="s">
        <v>916</v>
      </c>
      <c r="B9" s="191">
        <v>0.47934957159925928</v>
      </c>
      <c r="C9" s="191">
        <v>0.3006921092006572</v>
      </c>
      <c r="D9" s="185" t="s">
        <v>917</v>
      </c>
      <c r="G9" s="185" t="s">
        <v>916</v>
      </c>
      <c r="H9" s="192">
        <f>(
VLOOKUP($G9,$A$2:$E$18,HLOOKUP(H$1,$B$1:$E$19,19,FALSE)+1,FALSE)
-
VLOOKUP($G9,'Ergebnisse Basisszenario'!$A$1:$H$21,HLOOKUP(H$1,'Ergebnisse Basisszenario'!$B$1:$G$21,21,FALSE)+1,FALSE)
)
/
VLOOKUP($G9,'Ergebnisse Basisszenario'!$A$1:$H$21,HLOOKUP(H$1,'Ergebnisse Basisszenario'!$B$1:$G$21,21,FALSE)+1,FALSE)</f>
        <v>-4.4128784646324477E-2</v>
      </c>
      <c r="I9" s="192">
        <f>(
VLOOKUP($G9,$A$2:$E$18,HLOOKUP(I$1,$B$1:$E$19,19,FALSE)+1,FALSE)
-
VLOOKUP($G9,'Ergebnisse Basisszenario'!$A$1:$H$21,HLOOKUP(I$1,'Ergebnisse Basisszenario'!$B$1:$G$21,21,FALSE)+1,FALSE)
)
/
VLOOKUP($G9,'Ergebnisse Basisszenario'!$A$1:$H$21,HLOOKUP(I$1,'Ergebnisse Basisszenario'!$B$1:$G$21,21,FALSE)+1,FALSE)</f>
        <v>0</v>
      </c>
      <c r="K9" s="185" t="s">
        <v>916</v>
      </c>
      <c r="L9" s="185" t="b">
        <f>IF(
IF((VLOOKUP($K9,$A$2:$E$18,HLOOKUP(L$1,$B$1:$E$19,19,FALSE)+1,FALSE)-VLOOKUP($K9,$A$2:$E$18,HLOOKUP(L$1,$B$1:$E$19,19,FALSE)+2,FALSE))&lt;0,TRUE,FALSE)
=
IF((VLOOKUP($K9,'Ergebnisse Basisszenario'!$A$2:$G$20,HLOOKUP(L$1,'Ergebnisse Basisszenario'!$B$1:$G$21,21,FALSE)+1,FALSE)-VLOOKUP($K9,'Ergebnisse Basisszenario'!$A$2:$G$20,HLOOKUP(L$1,'Ergebnisse Basisszenario'!$B$1:$G$21,21,FALSE)+2,FALSE))&lt;0,TRUE,FALSE),
TRUE,FALSE)</f>
        <v>1</v>
      </c>
    </row>
    <row r="10" spans="1:12" x14ac:dyDescent="0.3">
      <c r="A10" s="185" t="s">
        <v>918</v>
      </c>
      <c r="B10" s="191">
        <v>2.5902650140248789E-8</v>
      </c>
      <c r="C10" s="191">
        <v>2.3374140966321709E-8</v>
      </c>
      <c r="D10" s="185" t="s">
        <v>919</v>
      </c>
      <c r="G10" s="185" t="s">
        <v>918</v>
      </c>
      <c r="H10" s="192">
        <f>(
VLOOKUP($G10,$A$2:$E$18,HLOOKUP(H$1,$B$1:$E$19,19,FALSE)+1,FALSE)
-
VLOOKUP($G10,'Ergebnisse Basisszenario'!$A$1:$H$21,HLOOKUP(H$1,'Ergebnisse Basisszenario'!$B$1:$G$21,21,FALSE)+1,FALSE)
)
/
VLOOKUP($G10,'Ergebnisse Basisszenario'!$A$1:$H$21,HLOOKUP(H$1,'Ergebnisse Basisszenario'!$B$1:$G$21,21,FALSE)+1,FALSE)</f>
        <v>-4.1600697785058365E-2</v>
      </c>
      <c r="I10" s="192">
        <f>(
VLOOKUP($G10,$A$2:$E$18,HLOOKUP(I$1,$B$1:$E$19,19,FALSE)+1,FALSE)
-
VLOOKUP($G10,'Ergebnisse Basisszenario'!$A$1:$H$21,HLOOKUP(I$1,'Ergebnisse Basisszenario'!$B$1:$G$21,21,FALSE)+1,FALSE)
)
/
VLOOKUP($G10,'Ergebnisse Basisszenario'!$A$1:$H$21,HLOOKUP(I$1,'Ergebnisse Basisszenario'!$B$1:$G$21,21,FALSE)+1,FALSE)</f>
        <v>0</v>
      </c>
      <c r="K10" s="185" t="s">
        <v>918</v>
      </c>
      <c r="L10" s="185" t="b">
        <f>IF(
IF((VLOOKUP($K10,$A$2:$E$18,HLOOKUP(L$1,$B$1:$E$19,19,FALSE)+1,FALSE)-VLOOKUP($K10,$A$2:$E$18,HLOOKUP(L$1,$B$1:$E$19,19,FALSE)+2,FALSE))&lt;0,TRUE,FALSE)
=
IF((VLOOKUP($K10,'Ergebnisse Basisszenario'!$A$2:$G$20,HLOOKUP(L$1,'Ergebnisse Basisszenario'!$B$1:$G$21,21,FALSE)+1,FALSE)-VLOOKUP($K10,'Ergebnisse Basisszenario'!$A$2:$G$20,HLOOKUP(L$1,'Ergebnisse Basisszenario'!$B$1:$G$21,21,FALSE)+2,FALSE))&lt;0,TRUE,FALSE),
TRUE,FALSE)</f>
        <v>1</v>
      </c>
    </row>
    <row r="11" spans="1:12" x14ac:dyDescent="0.3">
      <c r="A11" s="185" t="s">
        <v>920</v>
      </c>
      <c r="B11" s="191">
        <v>5.878983871790311E-7</v>
      </c>
      <c r="C11" s="191">
        <v>5.0970076436931958E-7</v>
      </c>
      <c r="D11" s="185" t="s">
        <v>919</v>
      </c>
      <c r="G11" s="185" t="s">
        <v>920</v>
      </c>
      <c r="H11" s="192">
        <f>(
VLOOKUP($G11,$A$2:$E$18,HLOOKUP(H$1,$B$1:$E$19,19,FALSE)+1,FALSE)
-
VLOOKUP($G11,'Ergebnisse Basisszenario'!$A$1:$H$21,HLOOKUP(H$1,'Ergebnisse Basisszenario'!$B$1:$G$21,21,FALSE)+1,FALSE)
)
/
VLOOKUP($G11,'Ergebnisse Basisszenario'!$A$1:$H$21,HLOOKUP(H$1,'Ergebnisse Basisszenario'!$B$1:$G$21,21,FALSE)+1,FALSE)</f>
        <v>-6.6700220331030902E-2</v>
      </c>
      <c r="I11" s="192">
        <f>(
VLOOKUP($G11,$A$2:$E$18,HLOOKUP(I$1,$B$1:$E$19,19,FALSE)+1,FALSE)
-
VLOOKUP($G11,'Ergebnisse Basisszenario'!$A$1:$H$21,HLOOKUP(I$1,'Ergebnisse Basisszenario'!$B$1:$G$21,21,FALSE)+1,FALSE)
)
/
VLOOKUP($G11,'Ergebnisse Basisszenario'!$A$1:$H$21,HLOOKUP(I$1,'Ergebnisse Basisszenario'!$B$1:$G$21,21,FALSE)+1,FALSE)</f>
        <v>0</v>
      </c>
      <c r="K11" s="185" t="s">
        <v>920</v>
      </c>
      <c r="L11" s="185" t="b">
        <f>IF(
IF((VLOOKUP($K11,$A$2:$E$18,HLOOKUP(L$1,$B$1:$E$19,19,FALSE)+1,FALSE)-VLOOKUP($K11,$A$2:$E$18,HLOOKUP(L$1,$B$1:$E$19,19,FALSE)+2,FALSE))&lt;0,TRUE,FALSE)
=
IF((VLOOKUP($K11,'Ergebnisse Basisszenario'!$A$2:$G$20,HLOOKUP(L$1,'Ergebnisse Basisszenario'!$B$1:$G$21,21,FALSE)+1,FALSE)-VLOOKUP($K11,'Ergebnisse Basisszenario'!$A$2:$G$20,HLOOKUP(L$1,'Ergebnisse Basisszenario'!$B$1:$G$21,21,FALSE)+2,FALSE))&lt;0,TRUE,FALSE),
TRUE,FALSE)</f>
        <v>1</v>
      </c>
    </row>
    <row r="12" spans="1:12" x14ac:dyDescent="0.3">
      <c r="A12" s="185" t="s">
        <v>921</v>
      </c>
      <c r="B12" s="191">
        <v>5.3774499562903717</v>
      </c>
      <c r="C12" s="191">
        <v>5.0451966543540179</v>
      </c>
      <c r="D12" s="185" t="s">
        <v>922</v>
      </c>
      <c r="G12" s="185" t="s">
        <v>921</v>
      </c>
      <c r="H12" s="192">
        <f>(
VLOOKUP($G12,$A$2:$E$18,HLOOKUP(H$1,$B$1:$E$19,19,FALSE)+1,FALSE)
-
VLOOKUP($G12,'Ergebnisse Basisszenario'!$A$1:$H$21,HLOOKUP(H$1,'Ergebnisse Basisszenario'!$B$1:$G$21,21,FALSE)+1,FALSE)
)
/
VLOOKUP($G12,'Ergebnisse Basisszenario'!$A$1:$H$21,HLOOKUP(H$1,'Ergebnisse Basisszenario'!$B$1:$G$21,21,FALSE)+1,FALSE)</f>
        <v>-2.351026358394551E-3</v>
      </c>
      <c r="I12" s="192">
        <f>(
VLOOKUP($G12,$A$2:$E$18,HLOOKUP(I$1,$B$1:$E$19,19,FALSE)+1,FALSE)
-
VLOOKUP($G12,'Ergebnisse Basisszenario'!$A$1:$H$21,HLOOKUP(I$1,'Ergebnisse Basisszenario'!$B$1:$G$21,21,FALSE)+1,FALSE)
)
/
VLOOKUP($G12,'Ergebnisse Basisszenario'!$A$1:$H$21,HLOOKUP(I$1,'Ergebnisse Basisszenario'!$B$1:$G$21,21,FALSE)+1,FALSE)</f>
        <v>0</v>
      </c>
      <c r="K12" s="185" t="s">
        <v>921</v>
      </c>
      <c r="L12" s="185" t="b">
        <f>IF(
IF((VLOOKUP($K12,$A$2:$E$18,HLOOKUP(L$1,$B$1:$E$19,19,FALSE)+1,FALSE)-VLOOKUP($K12,$A$2:$E$18,HLOOKUP(L$1,$B$1:$E$19,19,FALSE)+2,FALSE))&lt;0,TRUE,FALSE)
=
IF((VLOOKUP($K12,'Ergebnisse Basisszenario'!$A$2:$G$20,HLOOKUP(L$1,'Ergebnisse Basisszenario'!$B$1:$G$21,21,FALSE)+1,FALSE)-VLOOKUP($K12,'Ergebnisse Basisszenario'!$A$2:$G$20,HLOOKUP(L$1,'Ergebnisse Basisszenario'!$B$1:$G$21,21,FALSE)+2,FALSE))&lt;0,TRUE,FALSE),
TRUE,FALSE)</f>
        <v>1</v>
      </c>
    </row>
    <row r="13" spans="1:12" x14ac:dyDescent="0.3">
      <c r="A13" s="185" t="s">
        <v>923</v>
      </c>
      <c r="B13" s="191">
        <v>200.3506221188191</v>
      </c>
      <c r="C13" s="191">
        <v>133.3234966234605</v>
      </c>
      <c r="D13" s="185" t="s">
        <v>924</v>
      </c>
      <c r="G13" s="185" t="s">
        <v>923</v>
      </c>
      <c r="H13" s="192">
        <f>(
VLOOKUP($G13,$A$2:$E$18,HLOOKUP(H$1,$B$1:$E$19,19,FALSE)+1,FALSE)
-
VLOOKUP($G13,'Ergebnisse Basisszenario'!$A$1:$H$21,HLOOKUP(H$1,'Ergebnisse Basisszenario'!$B$1:$G$21,21,FALSE)+1,FALSE)
)
/
VLOOKUP($G13,'Ergebnisse Basisszenario'!$A$1:$H$21,HLOOKUP(H$1,'Ergebnisse Basisszenario'!$B$1:$G$21,21,FALSE)+1,FALSE)</f>
        <v>-1.0324618762533187E-2</v>
      </c>
      <c r="I13" s="192">
        <f>(
VLOOKUP($G13,$A$2:$E$18,HLOOKUP(I$1,$B$1:$E$19,19,FALSE)+1,FALSE)
-
VLOOKUP($G13,'Ergebnisse Basisszenario'!$A$1:$H$21,HLOOKUP(I$1,'Ergebnisse Basisszenario'!$B$1:$G$21,21,FALSE)+1,FALSE)
)
/
VLOOKUP($G13,'Ergebnisse Basisszenario'!$A$1:$H$21,HLOOKUP(I$1,'Ergebnisse Basisszenario'!$B$1:$G$21,21,FALSE)+1,FALSE)</f>
        <v>0</v>
      </c>
      <c r="K13" s="185" t="s">
        <v>923</v>
      </c>
      <c r="L13" s="185" t="b">
        <f>IF(
IF((VLOOKUP($K13,$A$2:$E$18,HLOOKUP(L$1,$B$1:$E$19,19,FALSE)+1,FALSE)-VLOOKUP($K13,$A$2:$E$18,HLOOKUP(L$1,$B$1:$E$19,19,FALSE)+2,FALSE))&lt;0,TRUE,FALSE)
=
IF((VLOOKUP($K13,'Ergebnisse Basisszenario'!$A$2:$G$20,HLOOKUP(L$1,'Ergebnisse Basisszenario'!$B$1:$G$21,21,FALSE)+1,FALSE)-VLOOKUP($K13,'Ergebnisse Basisszenario'!$A$2:$G$20,HLOOKUP(L$1,'Ergebnisse Basisszenario'!$B$1:$G$21,21,FALSE)+2,FALSE))&lt;0,TRUE,FALSE),
TRUE,FALSE)</f>
        <v>1</v>
      </c>
    </row>
    <row r="14" spans="1:12" x14ac:dyDescent="0.3">
      <c r="A14" s="185" t="s">
        <v>925</v>
      </c>
      <c r="B14" s="191">
        <v>3.5178432639425879E-4</v>
      </c>
      <c r="C14" s="191">
        <v>3.5068917978307618E-4</v>
      </c>
      <c r="D14" s="185" t="s">
        <v>926</v>
      </c>
      <c r="G14" s="185" t="s">
        <v>925</v>
      </c>
      <c r="H14" s="192">
        <f>(
VLOOKUP($G14,$A$2:$E$18,HLOOKUP(H$1,$B$1:$E$19,19,FALSE)+1,FALSE)
-
VLOOKUP($G14,'Ergebnisse Basisszenario'!$A$1:$H$21,HLOOKUP(H$1,'Ergebnisse Basisszenario'!$B$1:$G$21,21,FALSE)+1,FALSE)
)
/
VLOOKUP($G14,'Ergebnisse Basisszenario'!$A$1:$H$21,HLOOKUP(H$1,'Ergebnisse Basisszenario'!$B$1:$G$21,21,FALSE)+1,FALSE)</f>
        <v>-3.7856205270515178E-3</v>
      </c>
      <c r="I14" s="192">
        <f>(
VLOOKUP($G14,$A$2:$E$18,HLOOKUP(I$1,$B$1:$E$19,19,FALSE)+1,FALSE)
-
VLOOKUP($G14,'Ergebnisse Basisszenario'!$A$1:$H$21,HLOOKUP(I$1,'Ergebnisse Basisszenario'!$B$1:$G$21,21,FALSE)+1,FALSE)
)
/
VLOOKUP($G14,'Ergebnisse Basisszenario'!$A$1:$H$21,HLOOKUP(I$1,'Ergebnisse Basisszenario'!$B$1:$G$21,21,FALSE)+1,FALSE)</f>
        <v>0</v>
      </c>
      <c r="K14" s="185" t="s">
        <v>925</v>
      </c>
      <c r="L14" s="185" t="b">
        <f>IF(
IF((VLOOKUP($K14,$A$2:$E$18,HLOOKUP(L$1,$B$1:$E$19,19,FALSE)+1,FALSE)-VLOOKUP($K14,$A$2:$E$18,HLOOKUP(L$1,$B$1:$E$19,19,FALSE)+2,FALSE))&lt;0,TRUE,FALSE)
=
IF((VLOOKUP($K14,'Ergebnisse Basisszenario'!$A$2:$G$20,HLOOKUP(L$1,'Ergebnisse Basisszenario'!$B$1:$G$21,21,FALSE)+1,FALSE)-VLOOKUP($K14,'Ergebnisse Basisszenario'!$A$2:$G$20,HLOOKUP(L$1,'Ergebnisse Basisszenario'!$B$1:$G$21,21,FALSE)+2,FALSE))&lt;0,TRUE,FALSE),
TRUE,FALSE)</f>
        <v>1</v>
      </c>
    </row>
    <row r="15" spans="1:12" x14ac:dyDescent="0.3">
      <c r="A15" s="185" t="s">
        <v>927</v>
      </c>
      <c r="B15" s="191">
        <v>4.6439647422426048E-6</v>
      </c>
      <c r="C15" s="191">
        <v>5.1017049474516524E-6</v>
      </c>
      <c r="D15" s="185" t="s">
        <v>928</v>
      </c>
      <c r="G15" s="185" t="s">
        <v>927</v>
      </c>
      <c r="H15" s="192">
        <f>(
VLOOKUP($G15,$A$2:$E$18,HLOOKUP(H$1,$B$1:$E$19,19,FALSE)+1,FALSE)
-
VLOOKUP($G15,'Ergebnisse Basisszenario'!$A$1:$H$21,HLOOKUP(H$1,'Ergebnisse Basisszenario'!$B$1:$G$21,21,FALSE)+1,FALSE)
)
/
VLOOKUP($G15,'Ergebnisse Basisszenario'!$A$1:$H$21,HLOOKUP(H$1,'Ergebnisse Basisszenario'!$B$1:$G$21,21,FALSE)+1,FALSE)</f>
        <v>-9.7229437161957151E-3</v>
      </c>
      <c r="I15" s="192">
        <f>(
VLOOKUP($G15,$A$2:$E$18,HLOOKUP(I$1,$B$1:$E$19,19,FALSE)+1,FALSE)
-
VLOOKUP($G15,'Ergebnisse Basisszenario'!$A$1:$H$21,HLOOKUP(I$1,'Ergebnisse Basisszenario'!$B$1:$G$21,21,FALSE)+1,FALSE)
)
/
VLOOKUP($G15,'Ergebnisse Basisszenario'!$A$1:$H$21,HLOOKUP(I$1,'Ergebnisse Basisszenario'!$B$1:$G$21,21,FALSE)+1,FALSE)</f>
        <v>0</v>
      </c>
      <c r="K15" s="185" t="s">
        <v>927</v>
      </c>
      <c r="L15" s="185" t="b">
        <f>IF(
IF((VLOOKUP($K15,$A$2:$E$18,HLOOKUP(L$1,$B$1:$E$19,19,FALSE)+1,FALSE)-VLOOKUP($K15,$A$2:$E$18,HLOOKUP(L$1,$B$1:$E$19,19,FALSE)+2,FALSE))&lt;0,TRUE,FALSE)
=
IF((VLOOKUP($K15,'Ergebnisse Basisszenario'!$A$2:$G$20,HLOOKUP(L$1,'Ergebnisse Basisszenario'!$B$1:$G$21,21,FALSE)+1,FALSE)-VLOOKUP($K15,'Ergebnisse Basisszenario'!$A$2:$G$20,HLOOKUP(L$1,'Ergebnisse Basisszenario'!$B$1:$G$21,21,FALSE)+2,FALSE))&lt;0,TRUE,FALSE),
TRUE,FALSE)</f>
        <v>1</v>
      </c>
    </row>
    <row r="16" spans="1:12" x14ac:dyDescent="0.3">
      <c r="A16" s="185" t="s">
        <v>929</v>
      </c>
      <c r="B16" s="191">
        <v>2.039564417415633E-6</v>
      </c>
      <c r="C16" s="191">
        <v>9.3746099383097403E-7</v>
      </c>
      <c r="D16" s="185" t="s">
        <v>930</v>
      </c>
      <c r="G16" s="185" t="s">
        <v>929</v>
      </c>
      <c r="H16" s="192">
        <f>(
VLOOKUP($G16,$A$2:$E$18,HLOOKUP(H$1,$B$1:$E$19,19,FALSE)+1,FALSE)
-
VLOOKUP($G16,'Ergebnisse Basisszenario'!$A$1:$H$21,HLOOKUP(H$1,'Ergebnisse Basisszenario'!$B$1:$G$21,21,FALSE)+1,FALSE)
)
/
VLOOKUP($G16,'Ergebnisse Basisszenario'!$A$1:$H$21,HLOOKUP(H$1,'Ergebnisse Basisszenario'!$B$1:$G$21,21,FALSE)+1,FALSE)</f>
        <v>-1.3281992428229267E-2</v>
      </c>
      <c r="I16" s="192">
        <f>(
VLOOKUP($G16,$A$2:$E$18,HLOOKUP(I$1,$B$1:$E$19,19,FALSE)+1,FALSE)
-
VLOOKUP($G16,'Ergebnisse Basisszenario'!$A$1:$H$21,HLOOKUP(I$1,'Ergebnisse Basisszenario'!$B$1:$G$21,21,FALSE)+1,FALSE)
)
/
VLOOKUP($G16,'Ergebnisse Basisszenario'!$A$1:$H$21,HLOOKUP(I$1,'Ergebnisse Basisszenario'!$B$1:$G$21,21,FALSE)+1,FALSE)</f>
        <v>0</v>
      </c>
      <c r="K16" s="185" t="s">
        <v>929</v>
      </c>
      <c r="L16" s="185" t="b">
        <f>IF(
IF((VLOOKUP($K16,$A$2:$E$18,HLOOKUP(L$1,$B$1:$E$19,19,FALSE)+1,FALSE)-VLOOKUP($K16,$A$2:$E$18,HLOOKUP(L$1,$B$1:$E$19,19,FALSE)+2,FALSE))&lt;0,TRUE,FALSE)
=
IF((VLOOKUP($K16,'Ergebnisse Basisszenario'!$A$2:$G$20,HLOOKUP(L$1,'Ergebnisse Basisszenario'!$B$1:$G$21,21,FALSE)+1,FALSE)-VLOOKUP($K16,'Ergebnisse Basisszenario'!$A$2:$G$20,HLOOKUP(L$1,'Ergebnisse Basisszenario'!$B$1:$G$21,21,FALSE)+2,FALSE))&lt;0,TRUE,FALSE),
TRUE,FALSE)</f>
        <v>1</v>
      </c>
    </row>
    <row r="17" spans="1:12" x14ac:dyDescent="0.3">
      <c r="A17" s="185" t="s">
        <v>931</v>
      </c>
      <c r="B17" s="191">
        <v>0.18132584473834601</v>
      </c>
      <c r="C17" s="191">
        <v>0.1084147719420253</v>
      </c>
      <c r="D17" s="185" t="s">
        <v>932</v>
      </c>
      <c r="G17" s="185" t="s">
        <v>931</v>
      </c>
      <c r="H17" s="192">
        <f>(
VLOOKUP($G17,$A$2:$E$18,HLOOKUP(H$1,$B$1:$E$19,19,FALSE)+1,FALSE)
-
VLOOKUP($G17,'Ergebnisse Basisszenario'!$A$1:$H$21,HLOOKUP(H$1,'Ergebnisse Basisszenario'!$B$1:$G$21,21,FALSE)+1,FALSE)
)
/
VLOOKUP($G17,'Ergebnisse Basisszenario'!$A$1:$H$21,HLOOKUP(H$1,'Ergebnisse Basisszenario'!$B$1:$G$21,21,FALSE)+1,FALSE)</f>
        <v>-2.9068355734972073E-2</v>
      </c>
      <c r="I17" s="192">
        <f>(
VLOOKUP($G17,$A$2:$E$18,HLOOKUP(I$1,$B$1:$E$19,19,FALSE)+1,FALSE)
-
VLOOKUP($G17,'Ergebnisse Basisszenario'!$A$1:$H$21,HLOOKUP(I$1,'Ergebnisse Basisszenario'!$B$1:$G$21,21,FALSE)+1,FALSE)
)
/
VLOOKUP($G17,'Ergebnisse Basisszenario'!$A$1:$H$21,HLOOKUP(I$1,'Ergebnisse Basisszenario'!$B$1:$G$21,21,FALSE)+1,FALSE)</f>
        <v>0</v>
      </c>
      <c r="K17" s="185" t="s">
        <v>931</v>
      </c>
      <c r="L17" s="185" t="b">
        <f>IF(
IF((VLOOKUP($K17,$A$2:$E$18,HLOOKUP(L$1,$B$1:$E$19,19,FALSE)+1,FALSE)-VLOOKUP($K17,$A$2:$E$18,HLOOKUP(L$1,$B$1:$E$19,19,FALSE)+2,FALSE))&lt;0,TRUE,FALSE)
=
IF((VLOOKUP($K17,'Ergebnisse Basisszenario'!$A$2:$G$20,HLOOKUP(L$1,'Ergebnisse Basisszenario'!$B$1:$G$21,21,FALSE)+1,FALSE)-VLOOKUP($K17,'Ergebnisse Basisszenario'!$A$2:$G$20,HLOOKUP(L$1,'Ergebnisse Basisszenario'!$B$1:$G$21,21,FALSE)+2,FALSE))&lt;0,TRUE,FALSE),
TRUE,FALSE)</f>
        <v>1</v>
      </c>
    </row>
    <row r="18" spans="1:12" x14ac:dyDescent="0.3">
      <c r="A18" s="185" t="s">
        <v>933</v>
      </c>
      <c r="B18" s="191">
        <v>21.42205764449248</v>
      </c>
      <c r="C18" s="191">
        <v>11.51274914059475</v>
      </c>
      <c r="D18" s="185" t="s">
        <v>934</v>
      </c>
      <c r="G18" s="185" t="s">
        <v>933</v>
      </c>
      <c r="H18" s="192">
        <f>(
VLOOKUP($G18,$A$2:$E$18,HLOOKUP(H$1,$B$1:$E$19,19,FALSE)+1,FALSE)
-
VLOOKUP($G18,'Ergebnisse Basisszenario'!$A$1:$H$21,HLOOKUP(H$1,'Ergebnisse Basisszenario'!$B$1:$G$21,21,FALSE)+1,FALSE)
)
/
VLOOKUP($G18,'Ergebnisse Basisszenario'!$A$1:$H$21,HLOOKUP(H$1,'Ergebnisse Basisszenario'!$B$1:$G$21,21,FALSE)+1,FALSE)</f>
        <v>-3.9264481024509926E-2</v>
      </c>
      <c r="I18" s="192">
        <f>(
VLOOKUP($G18,$A$2:$E$18,HLOOKUP(I$1,$B$1:$E$19,19,FALSE)+1,FALSE)
-
VLOOKUP($G18,'Ergebnisse Basisszenario'!$A$1:$H$21,HLOOKUP(I$1,'Ergebnisse Basisszenario'!$B$1:$G$21,21,FALSE)+1,FALSE)
)
/
VLOOKUP($G18,'Ergebnisse Basisszenario'!$A$1:$H$21,HLOOKUP(I$1,'Ergebnisse Basisszenario'!$B$1:$G$21,21,FALSE)+1,FALSE)</f>
        <v>0</v>
      </c>
      <c r="K18" s="185" t="s">
        <v>933</v>
      </c>
      <c r="L18" s="185" t="b">
        <f>IF(
IF((VLOOKUP($K18,$A$2:$E$18,HLOOKUP(L$1,$B$1:$E$19,19,FALSE)+1,FALSE)-VLOOKUP($K18,$A$2:$E$18,HLOOKUP(L$1,$B$1:$E$19,19,FALSE)+2,FALSE))&lt;0,TRUE,FALSE)
=
IF((VLOOKUP($K18,'Ergebnisse Basisszenario'!$A$2:$G$20,HLOOKUP(L$1,'Ergebnisse Basisszenario'!$B$1:$G$21,21,FALSE)+1,FALSE)-VLOOKUP($K18,'Ergebnisse Basisszenario'!$A$2:$G$20,HLOOKUP(L$1,'Ergebnisse Basisszenario'!$B$1:$G$21,21,FALSE)+2,FALSE))&lt;0,TRUE,FALSE),
TRUE,FALSE)</f>
        <v>1</v>
      </c>
    </row>
    <row r="19" spans="1:12" x14ac:dyDescent="0.3">
      <c r="B19" s="185">
        <v>1</v>
      </c>
      <c r="C19" s="185">
        <v>2</v>
      </c>
    </row>
    <row r="21" spans="1:12" x14ac:dyDescent="0.3">
      <c r="A21" s="186" t="s">
        <v>938</v>
      </c>
      <c r="B21" s="247" cm="1">
        <f t="array" ref="B21">SUMPRODUCT((B2:B18&lt;C2:C18)*1)</f>
        <v>2</v>
      </c>
      <c r="C21" s="247"/>
    </row>
    <row r="22" spans="1:12" x14ac:dyDescent="0.3">
      <c r="A22" s="208" t="s">
        <v>1000</v>
      </c>
    </row>
    <row r="23" spans="1:12" x14ac:dyDescent="0.3">
      <c r="A23" s="207" t="s">
        <v>903</v>
      </c>
    </row>
    <row r="24" spans="1:12" x14ac:dyDescent="0.3">
      <c r="A24" s="186"/>
      <c r="B24" s="247" t="s">
        <v>899</v>
      </c>
      <c r="C24" s="247"/>
    </row>
    <row r="25" spans="1:12" x14ac:dyDescent="0.3">
      <c r="B25" s="185" t="s">
        <v>660</v>
      </c>
      <c r="C25" s="185" t="s">
        <v>669</v>
      </c>
    </row>
    <row r="26" spans="1:12" x14ac:dyDescent="0.3">
      <c r="A26" s="185" t="s">
        <v>939</v>
      </c>
      <c r="B26" s="188">
        <f>VLOOKUP($A$23,$A$2:$G$18,2,FALSE)</f>
        <v>70.793385579606095</v>
      </c>
      <c r="C26" s="188">
        <f>VLOOKUP($A$23,$A$2:$G$18,3,FALSE)</f>
        <v>60.622517652332903</v>
      </c>
    </row>
    <row r="27" spans="1:12" x14ac:dyDescent="0.3">
      <c r="A27" s="185" t="s">
        <v>940</v>
      </c>
      <c r="B27" s="187">
        <f>VLOOKUP($A$23,'Ergebnisse Basisszenario'!$A$2:$G$20,4,FALSE)</f>
        <v>100.959898345727</v>
      </c>
      <c r="C27" s="187">
        <f>VLOOKUP($A$23,'Ergebnisse Basisszenario'!$A$2:$G$20,5,FALSE)</f>
        <v>60.622517652332903</v>
      </c>
    </row>
    <row r="28" spans="1:12" x14ac:dyDescent="0.3">
      <c r="A28" s="185" t="s">
        <v>941</v>
      </c>
      <c r="B28" s="185">
        <f>B26-B27</f>
        <v>-30.166512766120903</v>
      </c>
      <c r="C28" s="185">
        <f t="shared" ref="C28" si="0">C26-C27</f>
        <v>0</v>
      </c>
    </row>
    <row r="29" spans="1:12" x14ac:dyDescent="0.3">
      <c r="A29" s="185" t="s">
        <v>942</v>
      </c>
      <c r="B29" s="185">
        <f>IF(B28&gt;0,B28,0)</f>
        <v>0</v>
      </c>
      <c r="C29" s="185">
        <f t="shared" ref="C29" si="1">IF(C28&gt;0,C28,0)</f>
        <v>0</v>
      </c>
    </row>
    <row r="30" spans="1:12" x14ac:dyDescent="0.3">
      <c r="A30" s="185" t="s">
        <v>943</v>
      </c>
      <c r="B30" s="185">
        <f>IF(B28&lt;0,B28,0)*(-1)</f>
        <v>30.166512766120903</v>
      </c>
      <c r="C30" s="185">
        <f t="shared" ref="C30" si="2">IF(C28&lt;0,C28,0)*(-1)</f>
        <v>0</v>
      </c>
    </row>
    <row r="31" spans="1:12" x14ac:dyDescent="0.3">
      <c r="A31" s="185" t="s">
        <v>944</v>
      </c>
      <c r="B31" s="185">
        <f>IF(B26&lt;B27,B26,B27)</f>
        <v>70.793385579606095</v>
      </c>
      <c r="C31" s="185">
        <f t="shared" ref="C31" si="3">IF(C26&lt;C27,C26,C27)</f>
        <v>60.622517652332903</v>
      </c>
    </row>
    <row r="32" spans="1:12" x14ac:dyDescent="0.3">
      <c r="A32" s="185" t="s">
        <v>945</v>
      </c>
      <c r="B32" s="201">
        <f>B28/B27</f>
        <v>-0.29879698038936925</v>
      </c>
      <c r="C32" s="201">
        <f t="shared" ref="C32" si="4">C28/C27</f>
        <v>0</v>
      </c>
    </row>
    <row r="33" spans="1:3" x14ac:dyDescent="0.3">
      <c r="A33" s="185" t="s">
        <v>946</v>
      </c>
      <c r="B33" s="188">
        <f>SUM(B29:B31)+SUM(B29:B31)*0.05</f>
        <v>106.00789326301334</v>
      </c>
      <c r="C33" s="188">
        <f t="shared" ref="C33" si="5">SUM(C29:C31)+SUM(C29:C31)*0.05</f>
        <v>63.653643534949545</v>
      </c>
    </row>
  </sheetData>
  <mergeCells count="2">
    <mergeCell ref="B21:C21"/>
    <mergeCell ref="B24:C24"/>
  </mergeCells>
  <conditionalFormatting sqref="B2:C2">
    <cfRule type="colorScale" priority="19">
      <colorScale>
        <cfvo type="min"/>
        <cfvo type="percentile" val="50"/>
        <cfvo type="max"/>
        <color rgb="FF63BE7B"/>
        <color rgb="FFFFEB84"/>
        <color rgb="FFF8696B"/>
      </colorScale>
    </cfRule>
  </conditionalFormatting>
  <conditionalFormatting sqref="B3:C3">
    <cfRule type="colorScale" priority="18">
      <colorScale>
        <cfvo type="min"/>
        <cfvo type="percentile" val="50"/>
        <cfvo type="max"/>
        <color rgb="FF63BE7B"/>
        <color rgb="FFFFEB84"/>
        <color rgb="FFF8696B"/>
      </colorScale>
    </cfRule>
  </conditionalFormatting>
  <conditionalFormatting sqref="B4:C4">
    <cfRule type="colorScale" priority="17">
      <colorScale>
        <cfvo type="min"/>
        <cfvo type="percentile" val="50"/>
        <cfvo type="max"/>
        <color rgb="FF63BE7B"/>
        <color rgb="FFFFEB84"/>
        <color rgb="FFF8696B"/>
      </colorScale>
    </cfRule>
  </conditionalFormatting>
  <conditionalFormatting sqref="B5:C5">
    <cfRule type="colorScale" priority="16">
      <colorScale>
        <cfvo type="min"/>
        <cfvo type="percentile" val="50"/>
        <cfvo type="max"/>
        <color rgb="FF63BE7B"/>
        <color rgb="FFFFEB84"/>
        <color rgb="FFF8696B"/>
      </colorScale>
    </cfRule>
  </conditionalFormatting>
  <conditionalFormatting sqref="B6:C6">
    <cfRule type="colorScale" priority="15">
      <colorScale>
        <cfvo type="min"/>
        <cfvo type="percentile" val="50"/>
        <cfvo type="max"/>
        <color rgb="FF63BE7B"/>
        <color rgb="FFFFEB84"/>
        <color rgb="FFF8696B"/>
      </colorScale>
    </cfRule>
  </conditionalFormatting>
  <conditionalFormatting sqref="B7:C7">
    <cfRule type="colorScale" priority="14">
      <colorScale>
        <cfvo type="min"/>
        <cfvo type="percentile" val="50"/>
        <cfvo type="max"/>
        <color rgb="FF63BE7B"/>
        <color rgb="FFFFEB84"/>
        <color rgb="FFF8696B"/>
      </colorScale>
    </cfRule>
  </conditionalFormatting>
  <conditionalFormatting sqref="B8:C8">
    <cfRule type="colorScale" priority="13">
      <colorScale>
        <cfvo type="min"/>
        <cfvo type="percentile" val="50"/>
        <cfvo type="max"/>
        <color rgb="FF63BE7B"/>
        <color rgb="FFFFEB84"/>
        <color rgb="FFF8696B"/>
      </colorScale>
    </cfRule>
  </conditionalFormatting>
  <conditionalFormatting sqref="B9:C9">
    <cfRule type="colorScale" priority="12">
      <colorScale>
        <cfvo type="min"/>
        <cfvo type="percentile" val="50"/>
        <cfvo type="max"/>
        <color rgb="FF63BE7B"/>
        <color rgb="FFFFEB84"/>
        <color rgb="FFF8696B"/>
      </colorScale>
    </cfRule>
  </conditionalFormatting>
  <conditionalFormatting sqref="B10:C10">
    <cfRule type="colorScale" priority="11">
      <colorScale>
        <cfvo type="min"/>
        <cfvo type="percentile" val="50"/>
        <cfvo type="max"/>
        <color rgb="FF63BE7B"/>
        <color rgb="FFFFEB84"/>
        <color rgb="FFF8696B"/>
      </colorScale>
    </cfRule>
  </conditionalFormatting>
  <conditionalFormatting sqref="B11:C11">
    <cfRule type="colorScale" priority="10">
      <colorScale>
        <cfvo type="min"/>
        <cfvo type="percentile" val="50"/>
        <cfvo type="max"/>
        <color rgb="FF63BE7B"/>
        <color rgb="FFFFEB84"/>
        <color rgb="FFF8696B"/>
      </colorScale>
    </cfRule>
  </conditionalFormatting>
  <conditionalFormatting sqref="B12:C12">
    <cfRule type="colorScale" priority="9">
      <colorScale>
        <cfvo type="min"/>
        <cfvo type="percentile" val="50"/>
        <cfvo type="max"/>
        <color rgb="FF63BE7B"/>
        <color rgb="FFFFEB84"/>
        <color rgb="FFF8696B"/>
      </colorScale>
    </cfRule>
  </conditionalFormatting>
  <conditionalFormatting sqref="B13:C13">
    <cfRule type="colorScale" priority="8">
      <colorScale>
        <cfvo type="min"/>
        <cfvo type="percentile" val="50"/>
        <cfvo type="max"/>
        <color rgb="FF63BE7B"/>
        <color rgb="FFFFEB84"/>
        <color rgb="FFF8696B"/>
      </colorScale>
    </cfRule>
  </conditionalFormatting>
  <conditionalFormatting sqref="B14:C14">
    <cfRule type="colorScale" priority="7">
      <colorScale>
        <cfvo type="min"/>
        <cfvo type="percentile" val="50"/>
        <cfvo type="max"/>
        <color rgb="FF63BE7B"/>
        <color rgb="FFFFEB84"/>
        <color rgb="FFF8696B"/>
      </colorScale>
    </cfRule>
  </conditionalFormatting>
  <conditionalFormatting sqref="B15:C15">
    <cfRule type="colorScale" priority="6">
      <colorScale>
        <cfvo type="min"/>
        <cfvo type="percentile" val="50"/>
        <cfvo type="max"/>
        <color rgb="FF63BE7B"/>
        <color rgb="FFFFEB84"/>
        <color rgb="FFF8696B"/>
      </colorScale>
    </cfRule>
  </conditionalFormatting>
  <conditionalFormatting sqref="B16:C16">
    <cfRule type="colorScale" priority="5">
      <colorScale>
        <cfvo type="min"/>
        <cfvo type="percentile" val="50"/>
        <cfvo type="max"/>
        <color rgb="FF63BE7B"/>
        <color rgb="FFFFEB84"/>
        <color rgb="FFF8696B"/>
      </colorScale>
    </cfRule>
  </conditionalFormatting>
  <conditionalFormatting sqref="B17:C17">
    <cfRule type="colorScale" priority="4">
      <colorScale>
        <cfvo type="min"/>
        <cfvo type="percentile" val="50"/>
        <cfvo type="max"/>
        <color rgb="FF63BE7B"/>
        <color rgb="FFFFEB84"/>
        <color rgb="FFF8696B"/>
      </colorScale>
    </cfRule>
  </conditionalFormatting>
  <conditionalFormatting sqref="B18:C18">
    <cfRule type="colorScale" priority="3">
      <colorScale>
        <cfvo type="min"/>
        <cfvo type="percentile" val="50"/>
        <cfvo type="max"/>
        <color rgb="FF63BE7B"/>
        <color rgb="FFFFEB84"/>
        <color rgb="FFF8696B"/>
      </colorScale>
    </cfRule>
  </conditionalFormatting>
  <conditionalFormatting sqref="H2:I18">
    <cfRule type="cellIs" dxfId="13" priority="2" operator="notBetween">
      <formula>0.1</formula>
      <formula>-0.1</formula>
    </cfRule>
  </conditionalFormatting>
  <conditionalFormatting sqref="L2:L18">
    <cfRule type="cellIs" dxfId="12" priority="1" operator="notEqual">
      <formula>TRUE</formula>
    </cfRule>
  </conditionalFormatting>
  <dataValidations count="1">
    <dataValidation type="list" allowBlank="1" showInputMessage="1" showErrorMessage="1" sqref="A23" xr:uid="{38F561C0-FF1D-4831-B594-5F91FF7FDFEC}">
      <formula1>$A$2:$A$18</formula1>
    </dataValidation>
  </dataValidations>
  <pageMargins left="0.7" right="0.7" top="0.78740157499999996" bottom="0.78740157499999996"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5112E-565B-4F1F-A872-D7F970521DDE}">
  <dimension ref="A1:U33"/>
  <sheetViews>
    <sheetView topLeftCell="A13" workbookViewId="0">
      <selection activeCell="A22" sqref="A22"/>
    </sheetView>
  </sheetViews>
  <sheetFormatPr baseColWidth="10" defaultColWidth="11.44140625" defaultRowHeight="14.4" x14ac:dyDescent="0.3"/>
  <cols>
    <col min="1" max="1" width="92.88671875" style="185" bestFit="1" customWidth="1"/>
    <col min="2" max="16384" width="11.44140625" style="185"/>
  </cols>
  <sheetData>
    <row r="1" spans="1:21" x14ac:dyDescent="0.3">
      <c r="A1" s="185" t="s">
        <v>890</v>
      </c>
      <c r="B1" s="185" t="s">
        <v>891</v>
      </c>
      <c r="C1" s="185" t="s">
        <v>892</v>
      </c>
      <c r="D1" s="185" t="s">
        <v>893</v>
      </c>
      <c r="E1" s="185" t="s">
        <v>894</v>
      </c>
      <c r="F1" s="185" t="s">
        <v>895</v>
      </c>
      <c r="G1" s="185" t="s">
        <v>896</v>
      </c>
      <c r="H1" s="185" t="s">
        <v>897</v>
      </c>
      <c r="K1" s="185" t="s">
        <v>891</v>
      </c>
      <c r="L1" s="185" t="s">
        <v>892</v>
      </c>
      <c r="M1" s="185" t="s">
        <v>893</v>
      </c>
      <c r="N1" s="185" t="s">
        <v>894</v>
      </c>
      <c r="O1" s="185" t="s">
        <v>895</v>
      </c>
      <c r="P1" s="185" t="s">
        <v>896</v>
      </c>
      <c r="S1" s="185" t="s">
        <v>891</v>
      </c>
      <c r="T1" s="185" t="s">
        <v>893</v>
      </c>
      <c r="U1" s="185" t="s">
        <v>895</v>
      </c>
    </row>
    <row r="2" spans="1:21" x14ac:dyDescent="0.3">
      <c r="A2" s="185" t="s">
        <v>901</v>
      </c>
      <c r="B2" s="191">
        <v>0.29939972698274048</v>
      </c>
      <c r="C2" s="191">
        <v>0.12740560935773679</v>
      </c>
      <c r="D2" s="191">
        <v>0.19196188212732659</v>
      </c>
      <c r="E2" s="191">
        <v>0.13865856100212481</v>
      </c>
      <c r="F2" s="191">
        <v>0.59276083745704078</v>
      </c>
      <c r="G2" s="191">
        <v>0.19790123382249999</v>
      </c>
      <c r="H2" s="185" t="s">
        <v>902</v>
      </c>
      <c r="J2" s="185" t="s">
        <v>901</v>
      </c>
      <c r="K2" s="192">
        <f>(
VLOOKUP($J2,$A$2:$G$18,HLOOKUP(K$1,$B$1:$G$19,19,FALSE)+1,FALSE)
-
VLOOKUP($J2,'Ergebnisse Basisszenario'!$A$1:$H$21,HLOOKUP(K$1,'Ergebnisse Basisszenario'!$B$1:$G$21,21,FALSE)+1,FALSE)
)
/
VLOOKUP($J2,'Ergebnisse Basisszenario'!$A$1:$H$21,HLOOKUP(K$1,'Ergebnisse Basisszenario'!$B$1:$G$21,21,FALSE)+1,FALSE)</f>
        <v>-0.19837773776431258</v>
      </c>
      <c r="L2" s="192">
        <f>(
VLOOKUP($J2,$A$2:$G$18,HLOOKUP(L$1,$B$1:$G$19,19,FALSE)+1,FALSE)
-
VLOOKUP($J2,'Ergebnisse Basisszenario'!$A$1:$H$21,HLOOKUP(L$1,'Ergebnisse Basisszenario'!$B$1:$G$21,21,FALSE)+1,FALSE)
)
/
VLOOKUP($J2,'Ergebnisse Basisszenario'!$A$1:$H$21,HLOOKUP(L$1,'Ergebnisse Basisszenario'!$B$1:$G$21,21,FALSE)+1,FALSE)</f>
        <v>0</v>
      </c>
      <c r="M2" s="192">
        <f>(
VLOOKUP($J2,$A$2:$G$18,HLOOKUP(M$1,$B$1:$G$19,19,FALSE)+1,FALSE)
-
VLOOKUP($J2,'Ergebnisse Basisszenario'!$A$1:$H$21,HLOOKUP(M$1,'Ergebnisse Basisszenario'!$B$1:$G$21,21,FALSE)+1,FALSE)
)
/
VLOOKUP($J2,'Ergebnisse Basisszenario'!$A$1:$H$21,HLOOKUP(M$1,'Ergebnisse Basisszenario'!$B$1:$G$21,21,FALSE)+1,FALSE)</f>
        <v>-0.20574244062043645</v>
      </c>
      <c r="N2" s="192">
        <f>(
VLOOKUP($J2,$A$2:$G$18,HLOOKUP(N$1,$B$1:$G$19,19,FALSE)+1,FALSE)
-
VLOOKUP($J2,'Ergebnisse Basisszenario'!$A$1:$H$21,HLOOKUP(N$1,'Ergebnisse Basisszenario'!$B$1:$G$21,21,FALSE)+1,FALSE)
)
/
VLOOKUP($J2,'Ergebnisse Basisszenario'!$A$1:$H$21,HLOOKUP(N$1,'Ergebnisse Basisszenario'!$B$1:$G$21,21,FALSE)+1,FALSE)</f>
        <v>0</v>
      </c>
      <c r="O2" s="192">
        <f>(
VLOOKUP($J2,$A$2:$G$18,HLOOKUP(O$1,$B$1:$G$19,19,FALSE)+1,FALSE)
-
VLOOKUP($J2,'Ergebnisse Basisszenario'!$A$1:$H$21,HLOOKUP(O$1,'Ergebnisse Basisszenario'!$B$1:$G$21,21,FALSE)+1,FALSE)
)
/
VLOOKUP($J2,'Ergebnisse Basisszenario'!$A$1:$H$21,HLOOKUP(O$1,'Ergebnisse Basisszenario'!$B$1:$G$21,21,FALSE)+1,FALSE)</f>
        <v>-0.10465976574893673</v>
      </c>
      <c r="P2" s="192">
        <f>(
VLOOKUP($J2,$A$2:$G$18,HLOOKUP(P$1,$B$1:$G$19,19,FALSE)+1,FALSE)
-
VLOOKUP($J2,'Ergebnisse Basisszenario'!$A$1:$H$21,HLOOKUP(P$1,'Ergebnisse Basisszenario'!$B$1:$G$21,21,FALSE)+1,FALSE)
)
/
VLOOKUP($J2,'Ergebnisse Basisszenario'!$A$1:$H$21,HLOOKUP(P$1,'Ergebnisse Basisszenario'!$B$1:$G$21,21,FALSE)+1,FALSE)</f>
        <v>0</v>
      </c>
      <c r="R2" s="185" t="s">
        <v>901</v>
      </c>
      <c r="S2" s="185" t="b">
        <f>IF(
IF((VLOOKUP($R2,$A$2:$G$18,HLOOKUP(S$1,$B$1:$G$19,19,FALSE)+1,FALSE)-VLOOKUP($R2,$A$2:$G$18,HLOOKUP(S$1,$B$1:$G$19,19,FALSE)+2,FALSE))&lt;0,TRUE,FALSE)
=
IF((VLOOKUP($R2,'Ergebnisse Basisszenario'!$A$2:$G$20,HLOOKUP(S$1,'Ergebnisse Basisszenario'!$B$1:$G$21,21,FALSE)+1,FALSE)-VLOOKUP($R2,'Ergebnisse Basisszenario'!$A$2:$G$20,HLOOKUP(S$1,'Ergebnisse Basisszenario'!$B$1:$G$21,21,FALSE)+2,FALSE))&lt;0,TRUE,FALSE),
TRUE,FALSE)</f>
        <v>1</v>
      </c>
      <c r="T2" s="185" t="b">
        <f>IF(
IF((VLOOKUP($R2,$A$2:$G$18,HLOOKUP(T$1,$B$1:$G$19,19,FALSE)+1,FALSE)-VLOOKUP($R2,$A$2:$G$18,HLOOKUP(T$1,$B$1:$G$19,19,FALSE)+2,FALSE))&lt;0,TRUE,FALSE)
=
IF((VLOOKUP($R2,'Ergebnisse Basisszenario'!$A$2:$G$20,HLOOKUP(T$1,'Ergebnisse Basisszenario'!$B$1:$G$21,21,FALSE)+1,FALSE)-VLOOKUP($R2,'Ergebnisse Basisszenario'!$A$2:$G$20,HLOOKUP(T$1,'Ergebnisse Basisszenario'!$B$1:$G$21,21,FALSE)+2,FALSE))&lt;0,TRUE,FALSE),
TRUE,FALSE)</f>
        <v>1</v>
      </c>
      <c r="U2" s="185" t="b">
        <f>IF(
IF((VLOOKUP($R2,$A$2:$G$18,HLOOKUP(U$1,$B$1:$G$19,19,FALSE)+1,FALSE)-VLOOKUP($R2,$A$2:$G$18,HLOOKUP(U$1,$B$1:$G$19,19,FALSE)+2,FALSE))&lt;0,TRUE,FALSE)
=
IF((VLOOKUP($R2,'Ergebnisse Basisszenario'!$A$2:$G$20,HLOOKUP(U$1,'Ergebnisse Basisszenario'!$B$1:$G$21,21,FALSE)+1,FALSE)-VLOOKUP($R2,'Ergebnisse Basisszenario'!$A$2:$G$20,HLOOKUP(U$1,'Ergebnisse Basisszenario'!$B$1:$G$21,21,FALSE)+2,FALSE))&lt;0,TRUE,FALSE),
TRUE,FALSE)</f>
        <v>1</v>
      </c>
    </row>
    <row r="3" spans="1:21" x14ac:dyDescent="0.3">
      <c r="A3" s="185" t="s">
        <v>903</v>
      </c>
      <c r="B3" s="191">
        <v>77.332740883979056</v>
      </c>
      <c r="C3" s="191">
        <v>51.451796087851058</v>
      </c>
      <c r="D3" s="191">
        <v>80.65627961600768</v>
      </c>
      <c r="E3" s="191">
        <v>60.62251765233291</v>
      </c>
      <c r="F3" s="191">
        <v>202.5282862131248</v>
      </c>
      <c r="G3" s="191">
        <v>86.750703793861035</v>
      </c>
      <c r="H3" s="185" t="s">
        <v>904</v>
      </c>
      <c r="J3" s="185" t="s">
        <v>903</v>
      </c>
      <c r="K3" s="192">
        <f>(
VLOOKUP($J3,$A$2:$G$18,HLOOKUP(K$1,$B$1:$G$19,19,FALSE)+1,FALSE)
-
VLOOKUP($J3,'Ergebnisse Basisszenario'!$A$1:$H$21,HLOOKUP(K$1,'Ergebnisse Basisszenario'!$B$1:$G$21,21,FALSE)+1,FALSE)
)
/
VLOOKUP($J3,'Ergebnisse Basisszenario'!$A$1:$H$21,HLOOKUP(K$1,'Ergebnisse Basisszenario'!$B$1:$G$21,21,FALSE)+1,FALSE)</f>
        <v>-0.18104131254398045</v>
      </c>
      <c r="L3" s="192">
        <f>(
VLOOKUP($J3,$A$2:$G$18,HLOOKUP(L$1,$B$1:$G$19,19,FALSE)+1,FALSE)
-
VLOOKUP($J3,'Ergebnisse Basisszenario'!$A$1:$H$21,HLOOKUP(L$1,'Ergebnisse Basisszenario'!$B$1:$G$21,21,FALSE)+1,FALSE)
)
/
VLOOKUP($J3,'Ergebnisse Basisszenario'!$A$1:$H$21,HLOOKUP(L$1,'Ergebnisse Basisszenario'!$B$1:$G$21,21,FALSE)+1,FALSE)</f>
        <v>0</v>
      </c>
      <c r="M3" s="192">
        <f>(
VLOOKUP($J3,$A$2:$G$18,HLOOKUP(M$1,$B$1:$G$19,19,FALSE)+1,FALSE)
-
VLOOKUP($J3,'Ergebnisse Basisszenario'!$A$1:$H$21,HLOOKUP(M$1,'Ergebnisse Basisszenario'!$B$1:$G$21,21,FALSE)+1,FALSE)
)
/
VLOOKUP($J3,'Ergebnisse Basisszenario'!$A$1:$H$21,HLOOKUP(M$1,'Ergebnisse Basisszenario'!$B$1:$G$21,21,FALSE)+1,FALSE)</f>
        <v>-0.20110577627754361</v>
      </c>
      <c r="N3" s="192">
        <f>(
VLOOKUP($J3,$A$2:$G$18,HLOOKUP(N$1,$B$1:$G$19,19,FALSE)+1,FALSE)
-
VLOOKUP($J3,'Ergebnisse Basisszenario'!$A$1:$H$21,HLOOKUP(N$1,'Ergebnisse Basisszenario'!$B$1:$G$21,21,FALSE)+1,FALSE)
)
/
VLOOKUP($J3,'Ergebnisse Basisszenario'!$A$1:$H$21,HLOOKUP(N$1,'Ergebnisse Basisszenario'!$B$1:$G$21,21,FALSE)+1,FALSE)</f>
        <v>1.1720772466676938E-16</v>
      </c>
      <c r="O3" s="192">
        <f>(
VLOOKUP($J3,$A$2:$G$18,HLOOKUP(O$1,$B$1:$G$19,19,FALSE)+1,FALSE)
-
VLOOKUP($J3,'Ergebnisse Basisszenario'!$A$1:$H$21,HLOOKUP(O$1,'Ergebnisse Basisszenario'!$B$1:$G$21,21,FALSE)+1,FALSE)
)
/
VLOOKUP($J3,'Ergebnisse Basisszenario'!$A$1:$H$21,HLOOKUP(O$1,'Ergebnisse Basisszenario'!$B$1:$G$21,21,FALSE)+1,FALSE)</f>
        <v>-7.2878964502460203E-2</v>
      </c>
      <c r="P3" s="192">
        <f>(
VLOOKUP($J3,$A$2:$G$18,HLOOKUP(P$1,$B$1:$G$19,19,FALSE)+1,FALSE)
-
VLOOKUP($J3,'Ergebnisse Basisszenario'!$A$1:$H$21,HLOOKUP(P$1,'Ergebnisse Basisszenario'!$B$1:$G$21,21,FALSE)+1,FALSE)
)
/
VLOOKUP($J3,'Ergebnisse Basisszenario'!$A$1:$H$21,HLOOKUP(P$1,'Ergebnisse Basisszenario'!$B$1:$G$21,21,FALSE)+1,FALSE)</f>
        <v>0</v>
      </c>
      <c r="R3" s="185" t="s">
        <v>903</v>
      </c>
      <c r="S3" s="185" t="b">
        <f>IF(
IF((VLOOKUP($R3,$A$2:$G$18,HLOOKUP(S$1,$B$1:$G$19,19,FALSE)+1,FALSE)-VLOOKUP($R3,$A$2:$G$18,HLOOKUP(S$1,$B$1:$G$19,19,FALSE)+2,FALSE))&lt;0,TRUE,FALSE)
=
IF((VLOOKUP($R3,'Ergebnisse Basisszenario'!$A$2:$G$20,HLOOKUP(S$1,'Ergebnisse Basisszenario'!$B$1:$G$21,21,FALSE)+1,FALSE)-VLOOKUP($R3,'Ergebnisse Basisszenario'!$A$2:$G$20,HLOOKUP(S$1,'Ergebnisse Basisszenario'!$B$1:$G$21,21,FALSE)+2,FALSE))&lt;0,TRUE,FALSE),
TRUE,FALSE)</f>
        <v>1</v>
      </c>
      <c r="T3" s="185" t="b">
        <f>IF(
IF((VLOOKUP($R3,$A$2:$G$18,HLOOKUP(T$1,$B$1:$G$19,19,FALSE)+1,FALSE)-VLOOKUP($R3,$A$2:$G$18,HLOOKUP(T$1,$B$1:$G$19,19,FALSE)+2,FALSE))&lt;0,TRUE,FALSE)
=
IF((VLOOKUP($R3,'Ergebnisse Basisszenario'!$A$2:$G$20,HLOOKUP(T$1,'Ergebnisse Basisszenario'!$B$1:$G$21,21,FALSE)+1,FALSE)-VLOOKUP($R3,'Ergebnisse Basisszenario'!$A$2:$G$20,HLOOKUP(T$1,'Ergebnisse Basisszenario'!$B$1:$G$21,21,FALSE)+2,FALSE))&lt;0,TRUE,FALSE),
TRUE,FALSE)</f>
        <v>1</v>
      </c>
      <c r="U3" s="185" t="b">
        <f>IF(
IF((VLOOKUP($R3,$A$2:$G$18,HLOOKUP(U$1,$B$1:$G$19,19,FALSE)+1,FALSE)-VLOOKUP($R3,$A$2:$G$18,HLOOKUP(U$1,$B$1:$G$19,19,FALSE)+2,FALSE))&lt;0,TRUE,FALSE)
=
IF((VLOOKUP($R3,'Ergebnisse Basisszenario'!$A$2:$G$20,HLOOKUP(U$1,'Ergebnisse Basisszenario'!$B$1:$G$21,21,FALSE)+1,FALSE)-VLOOKUP($R3,'Ergebnisse Basisszenario'!$A$2:$G$20,HLOOKUP(U$1,'Ergebnisse Basisszenario'!$B$1:$G$21,21,FALSE)+2,FALSE))&lt;0,TRUE,FALSE),
TRUE,FALSE)</f>
        <v>1</v>
      </c>
    </row>
    <row r="4" spans="1:21" x14ac:dyDescent="0.3">
      <c r="A4" s="185" t="s">
        <v>906</v>
      </c>
      <c r="B4" s="191">
        <v>75.473192837289957</v>
      </c>
      <c r="C4" s="191">
        <v>51.104833581974283</v>
      </c>
      <c r="D4" s="191">
        <v>80.387933455939944</v>
      </c>
      <c r="E4" s="191">
        <v>60.242299402801642</v>
      </c>
      <c r="F4" s="191">
        <v>200.50324808133399</v>
      </c>
      <c r="G4" s="191">
        <v>86.16277708223231</v>
      </c>
      <c r="H4" s="185" t="s">
        <v>904</v>
      </c>
      <c r="J4" s="185" t="s">
        <v>906</v>
      </c>
      <c r="K4" s="192">
        <f>(
VLOOKUP($J4,$A$2:$G$18,HLOOKUP(K$1,$B$1:$G$19,19,FALSE)+1,FALSE)
-
VLOOKUP($J4,'Ergebnisse Basisszenario'!$A$1:$H$21,HLOOKUP(K$1,'Ergebnisse Basisszenario'!$B$1:$G$21,21,FALSE)+1,FALSE)
)
/
VLOOKUP($J4,'Ergebnisse Basisszenario'!$A$1:$H$21,HLOOKUP(K$1,'Ergebnisse Basisszenario'!$B$1:$G$21,21,FALSE)+1,FALSE)</f>
        <v>-0.178597797170605</v>
      </c>
      <c r="L4" s="192">
        <f>(
VLOOKUP($J4,$A$2:$G$18,HLOOKUP(L$1,$B$1:$G$19,19,FALSE)+1,FALSE)
-
VLOOKUP($J4,'Ergebnisse Basisszenario'!$A$1:$H$21,HLOOKUP(L$1,'Ergebnisse Basisszenario'!$B$1:$G$21,21,FALSE)+1,FALSE)
)
/
VLOOKUP($J4,'Ergebnisse Basisszenario'!$A$1:$H$21,HLOOKUP(L$1,'Ergebnisse Basisszenario'!$B$1:$G$21,21,FALSE)+1,FALSE)</f>
        <v>0</v>
      </c>
      <c r="M4" s="192">
        <f>(
VLOOKUP($J4,$A$2:$G$18,HLOOKUP(M$1,$B$1:$G$19,19,FALSE)+1,FALSE)
-
VLOOKUP($J4,'Ergebnisse Basisszenario'!$A$1:$H$21,HLOOKUP(M$1,'Ergebnisse Basisszenario'!$B$1:$G$21,21,FALSE)+1,FALSE)
)
/
VLOOKUP($J4,'Ergebnisse Basisszenario'!$A$1:$H$21,HLOOKUP(M$1,'Ergebnisse Basisszenario'!$B$1:$G$21,21,FALSE)+1,FALSE)</f>
        <v>-0.20138522345803972</v>
      </c>
      <c r="N4" s="192">
        <f>(
VLOOKUP($J4,$A$2:$G$18,HLOOKUP(N$1,$B$1:$G$19,19,FALSE)+1,FALSE)
-
VLOOKUP($J4,'Ergebnisse Basisszenario'!$A$1:$H$21,HLOOKUP(N$1,'Ergebnisse Basisszenario'!$B$1:$G$21,21,FALSE)+1,FALSE)
)
/
VLOOKUP($J4,'Ergebnisse Basisszenario'!$A$1:$H$21,HLOOKUP(N$1,'Ergebnisse Basisszenario'!$B$1:$G$21,21,FALSE)+1,FALSE)</f>
        <v>0</v>
      </c>
      <c r="O4" s="192">
        <f>(
VLOOKUP($J4,$A$2:$G$18,HLOOKUP(O$1,$B$1:$G$19,19,FALSE)+1,FALSE)
-
VLOOKUP($J4,'Ergebnisse Basisszenario'!$A$1:$H$21,HLOOKUP(O$1,'Ergebnisse Basisszenario'!$B$1:$G$21,21,FALSE)+1,FALSE)
)
/
VLOOKUP($J4,'Ergebnisse Basisszenario'!$A$1:$H$21,HLOOKUP(O$1,'Ergebnisse Basisszenario'!$B$1:$G$21,21,FALSE)+1,FALSE)</f>
        <v>-7.1969923956920173E-2</v>
      </c>
      <c r="P4" s="192">
        <f>(
VLOOKUP($J4,$A$2:$G$18,HLOOKUP(P$1,$B$1:$G$19,19,FALSE)+1,FALSE)
-
VLOOKUP($J4,'Ergebnisse Basisszenario'!$A$1:$H$21,HLOOKUP(P$1,'Ergebnisse Basisszenario'!$B$1:$G$21,21,FALSE)+1,FALSE)
)
/
VLOOKUP($J4,'Ergebnisse Basisszenario'!$A$1:$H$21,HLOOKUP(P$1,'Ergebnisse Basisszenario'!$B$1:$G$21,21,FALSE)+1,FALSE)</f>
        <v>0</v>
      </c>
      <c r="R4" s="185" t="s">
        <v>906</v>
      </c>
      <c r="S4" s="185" t="b">
        <f>IF(
IF((VLOOKUP($R4,$A$2:$G$18,HLOOKUP(S$1,$B$1:$G$19,19,FALSE)+1,FALSE)-VLOOKUP($R4,$A$2:$G$18,HLOOKUP(S$1,$B$1:$G$19,19,FALSE)+2,FALSE))&lt;0,TRUE,FALSE)
=
IF((VLOOKUP($R4,'Ergebnisse Basisszenario'!$A$2:$G$20,HLOOKUP(S$1,'Ergebnisse Basisszenario'!$B$1:$G$21,21,FALSE)+1,FALSE)-VLOOKUP($R4,'Ergebnisse Basisszenario'!$A$2:$G$20,HLOOKUP(S$1,'Ergebnisse Basisszenario'!$B$1:$G$21,21,FALSE)+2,FALSE))&lt;0,TRUE,FALSE),
TRUE,FALSE)</f>
        <v>1</v>
      </c>
      <c r="T4" s="185" t="b">
        <f>IF(
IF((VLOOKUP($R4,$A$2:$G$18,HLOOKUP(T$1,$B$1:$G$19,19,FALSE)+1,FALSE)-VLOOKUP($R4,$A$2:$G$18,HLOOKUP(T$1,$B$1:$G$19,19,FALSE)+2,FALSE))&lt;0,TRUE,FALSE)
=
IF((VLOOKUP($R4,'Ergebnisse Basisszenario'!$A$2:$G$20,HLOOKUP(T$1,'Ergebnisse Basisszenario'!$B$1:$G$21,21,FALSE)+1,FALSE)-VLOOKUP($R4,'Ergebnisse Basisszenario'!$A$2:$G$20,HLOOKUP(T$1,'Ergebnisse Basisszenario'!$B$1:$G$21,21,FALSE)+2,FALSE))&lt;0,TRUE,FALSE),
TRUE,FALSE)</f>
        <v>1</v>
      </c>
      <c r="U4" s="185" t="b">
        <f>IF(
IF((VLOOKUP($R4,$A$2:$G$18,HLOOKUP(U$1,$B$1:$G$19,19,FALSE)+1,FALSE)-VLOOKUP($R4,$A$2:$G$18,HLOOKUP(U$1,$B$1:$G$19,19,FALSE)+2,FALSE))&lt;0,TRUE,FALSE)
=
IF((VLOOKUP($R4,'Ergebnisse Basisszenario'!$A$2:$G$20,HLOOKUP(U$1,'Ergebnisse Basisszenario'!$B$1:$G$21,21,FALSE)+1,FALSE)-VLOOKUP($R4,'Ergebnisse Basisszenario'!$A$2:$G$20,HLOOKUP(U$1,'Ergebnisse Basisszenario'!$B$1:$G$21,21,FALSE)+2,FALSE))&lt;0,TRUE,FALSE),
TRUE,FALSE)</f>
        <v>1</v>
      </c>
    </row>
    <row r="5" spans="1:21" x14ac:dyDescent="0.3">
      <c r="A5" s="185" t="s">
        <v>908</v>
      </c>
      <c r="B5" s="191">
        <v>2638.5144121771732</v>
      </c>
      <c r="C5" s="191">
        <v>527.50758404574447</v>
      </c>
      <c r="D5" s="191">
        <v>643.20912613881899</v>
      </c>
      <c r="E5" s="191">
        <v>541.98479464177558</v>
      </c>
      <c r="F5" s="191">
        <v>3048.4024987729458</v>
      </c>
      <c r="G5" s="191">
        <v>780.93142718575587</v>
      </c>
      <c r="H5" s="185" t="s">
        <v>909</v>
      </c>
      <c r="J5" s="185" t="s">
        <v>908</v>
      </c>
      <c r="K5" s="192">
        <f>(
VLOOKUP($J5,$A$2:$G$18,HLOOKUP(K$1,$B$1:$G$19,19,FALSE)+1,FALSE)
-
VLOOKUP($J5,'Ergebnisse Basisszenario'!$A$1:$H$21,HLOOKUP(K$1,'Ergebnisse Basisszenario'!$B$1:$G$21,21,FALSE)+1,FALSE)
)
/
VLOOKUP($J5,'Ergebnisse Basisszenario'!$A$1:$H$21,HLOOKUP(K$1,'Ergebnisse Basisszenario'!$B$1:$G$21,21,FALSE)+1,FALSE)</f>
        <v>-0.2585950600413725</v>
      </c>
      <c r="L5" s="192">
        <f>(
VLOOKUP($J5,$A$2:$G$18,HLOOKUP(L$1,$B$1:$G$19,19,FALSE)+1,FALSE)
-
VLOOKUP($J5,'Ergebnisse Basisszenario'!$A$1:$H$21,HLOOKUP(L$1,'Ergebnisse Basisszenario'!$B$1:$G$21,21,FALSE)+1,FALSE)
)
/
VLOOKUP($J5,'Ergebnisse Basisszenario'!$A$1:$H$21,HLOOKUP(L$1,'Ergebnisse Basisszenario'!$B$1:$G$21,21,FALSE)+1,FALSE)</f>
        <v>0</v>
      </c>
      <c r="M5" s="192">
        <f>(
VLOOKUP($J5,$A$2:$G$18,HLOOKUP(M$1,$B$1:$G$19,19,FALSE)+1,FALSE)
-
VLOOKUP($J5,'Ergebnisse Basisszenario'!$A$1:$H$21,HLOOKUP(M$1,'Ergebnisse Basisszenario'!$B$1:$G$21,21,FALSE)+1,FALSE)
)
/
VLOOKUP($J5,'Ergebnisse Basisszenario'!$A$1:$H$21,HLOOKUP(M$1,'Ergebnisse Basisszenario'!$B$1:$G$21,21,FALSE)+1,FALSE)</f>
        <v>-0.1975917749496211</v>
      </c>
      <c r="N5" s="192">
        <f>(
VLOOKUP($J5,$A$2:$G$18,HLOOKUP(N$1,$B$1:$G$19,19,FALSE)+1,FALSE)
-
VLOOKUP($J5,'Ergebnisse Basisszenario'!$A$1:$H$21,HLOOKUP(N$1,'Ergebnisse Basisszenario'!$B$1:$G$21,21,FALSE)+1,FALSE)
)
/
VLOOKUP($J5,'Ergebnisse Basisszenario'!$A$1:$H$21,HLOOKUP(N$1,'Ergebnisse Basisszenario'!$B$1:$G$21,21,FALSE)+1,FALSE)</f>
        <v>0</v>
      </c>
      <c r="O5" s="192">
        <f>(
VLOOKUP($J5,$A$2:$G$18,HLOOKUP(O$1,$B$1:$G$19,19,FALSE)+1,FALSE)
-
VLOOKUP($J5,'Ergebnisse Basisszenario'!$A$1:$H$21,HLOOKUP(O$1,'Ergebnisse Basisszenario'!$B$1:$G$21,21,FALSE)+1,FALSE)
)
/
VLOOKUP($J5,'Ergebnisse Basisszenario'!$A$1:$H$21,HLOOKUP(O$1,'Ergebnisse Basisszenario'!$B$1:$G$21,21,FALSE)+1,FALSE)</f>
        <v>-0.14945621181540297</v>
      </c>
      <c r="P5" s="192">
        <f>(
VLOOKUP($J5,$A$2:$G$18,HLOOKUP(P$1,$B$1:$G$19,19,FALSE)+1,FALSE)
-
VLOOKUP($J5,'Ergebnisse Basisszenario'!$A$1:$H$21,HLOOKUP(P$1,'Ergebnisse Basisszenario'!$B$1:$G$21,21,FALSE)+1,FALSE)
)
/
VLOOKUP($J5,'Ergebnisse Basisszenario'!$A$1:$H$21,HLOOKUP(P$1,'Ergebnisse Basisszenario'!$B$1:$G$21,21,FALSE)+1,FALSE)</f>
        <v>1.4557851530102909E-16</v>
      </c>
      <c r="R5" s="185" t="s">
        <v>908</v>
      </c>
      <c r="S5" s="185" t="b">
        <f>IF(
IF((VLOOKUP($R5,$A$2:$G$18,HLOOKUP(S$1,$B$1:$G$19,19,FALSE)+1,FALSE)-VLOOKUP($R5,$A$2:$G$18,HLOOKUP(S$1,$B$1:$G$19,19,FALSE)+2,FALSE))&lt;0,TRUE,FALSE)
=
IF((VLOOKUP($R5,'Ergebnisse Basisszenario'!$A$2:$G$20,HLOOKUP(S$1,'Ergebnisse Basisszenario'!$B$1:$G$21,21,FALSE)+1,FALSE)-VLOOKUP($R5,'Ergebnisse Basisszenario'!$A$2:$G$20,HLOOKUP(S$1,'Ergebnisse Basisszenario'!$B$1:$G$21,21,FALSE)+2,FALSE))&lt;0,TRUE,FALSE),
TRUE,FALSE)</f>
        <v>1</v>
      </c>
      <c r="T5" s="185" t="b">
        <f>IF(
IF((VLOOKUP($R5,$A$2:$G$18,HLOOKUP(T$1,$B$1:$G$19,19,FALSE)+1,FALSE)-VLOOKUP($R5,$A$2:$G$18,HLOOKUP(T$1,$B$1:$G$19,19,FALSE)+2,FALSE))&lt;0,TRUE,FALSE)
=
IF((VLOOKUP($R5,'Ergebnisse Basisszenario'!$A$2:$G$20,HLOOKUP(T$1,'Ergebnisse Basisszenario'!$B$1:$G$21,21,FALSE)+1,FALSE)-VLOOKUP($R5,'Ergebnisse Basisszenario'!$A$2:$G$20,HLOOKUP(T$1,'Ergebnisse Basisszenario'!$B$1:$G$21,21,FALSE)+2,FALSE))&lt;0,TRUE,FALSE),
TRUE,FALSE)</f>
        <v>1</v>
      </c>
      <c r="U5" s="185" t="b">
        <f>IF(
IF((VLOOKUP($R5,$A$2:$G$18,HLOOKUP(U$1,$B$1:$G$19,19,FALSE)+1,FALSE)-VLOOKUP($R5,$A$2:$G$18,HLOOKUP(U$1,$B$1:$G$19,19,FALSE)+2,FALSE))&lt;0,TRUE,FALSE)
=
IF((VLOOKUP($R5,'Ergebnisse Basisszenario'!$A$2:$G$20,HLOOKUP(U$1,'Ergebnisse Basisszenario'!$B$1:$G$21,21,FALSE)+1,FALSE)-VLOOKUP($R5,'Ergebnisse Basisszenario'!$A$2:$G$20,HLOOKUP(U$1,'Ergebnisse Basisszenario'!$B$1:$G$21,21,FALSE)+2,FALSE))&lt;0,TRUE,FALSE),
TRUE,FALSE)</f>
        <v>1</v>
      </c>
    </row>
    <row r="6" spans="1:21" x14ac:dyDescent="0.3">
      <c r="A6" s="185" t="s">
        <v>910</v>
      </c>
      <c r="B6" s="191">
        <v>1006.750444745321</v>
      </c>
      <c r="C6" s="191">
        <v>796.43775995896794</v>
      </c>
      <c r="D6" s="191">
        <v>1156.363045729197</v>
      </c>
      <c r="E6" s="191">
        <v>923.98149267372241</v>
      </c>
      <c r="F6" s="191">
        <v>2956.9664991027839</v>
      </c>
      <c r="G6" s="191">
        <v>1337.1643182509399</v>
      </c>
      <c r="H6" s="185" t="s">
        <v>911</v>
      </c>
      <c r="J6" s="185" t="s">
        <v>910</v>
      </c>
      <c r="K6" s="192">
        <f>(
VLOOKUP($J6,$A$2:$G$18,HLOOKUP(K$1,$B$1:$G$19,19,FALSE)+1,FALSE)
-
VLOOKUP($J6,'Ergebnisse Basisszenario'!$A$1:$H$21,HLOOKUP(K$1,'Ergebnisse Basisszenario'!$B$1:$G$21,21,FALSE)+1,FALSE)
)
/
VLOOKUP($J6,'Ergebnisse Basisszenario'!$A$1:$H$21,HLOOKUP(K$1,'Ergebnisse Basisszenario'!$B$1:$G$21,21,FALSE)+1,FALSE)</f>
        <v>-0.15039308778740113</v>
      </c>
      <c r="L6" s="192">
        <f>(
VLOOKUP($J6,$A$2:$G$18,HLOOKUP(L$1,$B$1:$G$19,19,FALSE)+1,FALSE)
-
VLOOKUP($J6,'Ergebnisse Basisszenario'!$A$1:$H$21,HLOOKUP(L$1,'Ergebnisse Basisszenario'!$B$1:$G$21,21,FALSE)+1,FALSE)
)
/
VLOOKUP($J6,'Ergebnisse Basisszenario'!$A$1:$H$21,HLOOKUP(L$1,'Ergebnisse Basisszenario'!$B$1:$G$21,21,FALSE)+1,FALSE)</f>
        <v>0</v>
      </c>
      <c r="M6" s="192">
        <f>(
VLOOKUP($J6,$A$2:$G$18,HLOOKUP(M$1,$B$1:$G$19,19,FALSE)+1,FALSE)
-
VLOOKUP($J6,'Ergebnisse Basisszenario'!$A$1:$H$21,HLOOKUP(M$1,'Ergebnisse Basisszenario'!$B$1:$G$21,21,FALSE)+1,FALSE)
)
/
VLOOKUP($J6,'Ergebnisse Basisszenario'!$A$1:$H$21,HLOOKUP(M$1,'Ergebnisse Basisszenario'!$B$1:$G$21,21,FALSE)+1,FALSE)</f>
        <v>-0.19546288844699464</v>
      </c>
      <c r="N6" s="192">
        <f>(
VLOOKUP($J6,$A$2:$G$18,HLOOKUP(N$1,$B$1:$G$19,19,FALSE)+1,FALSE)
-
VLOOKUP($J6,'Ergebnisse Basisszenario'!$A$1:$H$21,HLOOKUP(N$1,'Ergebnisse Basisszenario'!$B$1:$G$21,21,FALSE)+1,FALSE)
)
/
VLOOKUP($J6,'Ergebnisse Basisszenario'!$A$1:$H$21,HLOOKUP(N$1,'Ergebnisse Basisszenario'!$B$1:$G$21,21,FALSE)+1,FALSE)</f>
        <v>0</v>
      </c>
      <c r="O6" s="192">
        <f>(
VLOOKUP($J6,$A$2:$G$18,HLOOKUP(O$1,$B$1:$G$19,19,FALSE)+1,FALSE)
-
VLOOKUP($J6,'Ergebnisse Basisszenario'!$A$1:$H$21,HLOOKUP(O$1,'Ergebnisse Basisszenario'!$B$1:$G$21,21,FALSE)+1,FALSE)
)
/
VLOOKUP($J6,'Ergebnisse Basisszenario'!$A$1:$H$21,HLOOKUP(O$1,'Ergebnisse Basisszenario'!$B$1:$G$21,21,FALSE)+1,FALSE)</f>
        <v>-5.4400788152509663E-2</v>
      </c>
      <c r="P6" s="192">
        <f>(
VLOOKUP($J6,$A$2:$G$18,HLOOKUP(P$1,$B$1:$G$19,19,FALSE)+1,FALSE)
-
VLOOKUP($J6,'Ergebnisse Basisszenario'!$A$1:$H$21,HLOOKUP(P$1,'Ergebnisse Basisszenario'!$B$1:$G$21,21,FALSE)+1,FALSE)
)
/
VLOOKUP($J6,'Ergebnisse Basisszenario'!$A$1:$H$21,HLOOKUP(P$1,'Ergebnisse Basisszenario'!$B$1:$G$21,21,FALSE)+1,FALSE)</f>
        <v>0</v>
      </c>
      <c r="R6" s="185" t="s">
        <v>910</v>
      </c>
      <c r="S6" s="185" t="b">
        <f>IF(
IF((VLOOKUP($R6,$A$2:$G$18,HLOOKUP(S$1,$B$1:$G$19,19,FALSE)+1,FALSE)-VLOOKUP($R6,$A$2:$G$18,HLOOKUP(S$1,$B$1:$G$19,19,FALSE)+2,FALSE))&lt;0,TRUE,FALSE)
=
IF((VLOOKUP($R6,'Ergebnisse Basisszenario'!$A$2:$G$20,HLOOKUP(S$1,'Ergebnisse Basisszenario'!$B$1:$G$21,21,FALSE)+1,FALSE)-VLOOKUP($R6,'Ergebnisse Basisszenario'!$A$2:$G$20,HLOOKUP(S$1,'Ergebnisse Basisszenario'!$B$1:$G$21,21,FALSE)+2,FALSE))&lt;0,TRUE,FALSE),
TRUE,FALSE)</f>
        <v>1</v>
      </c>
      <c r="T6" s="185" t="b">
        <f>IF(
IF((VLOOKUP($R6,$A$2:$G$18,HLOOKUP(T$1,$B$1:$G$19,19,FALSE)+1,FALSE)-VLOOKUP($R6,$A$2:$G$18,HLOOKUP(T$1,$B$1:$G$19,19,FALSE)+2,FALSE))&lt;0,TRUE,FALSE)
=
IF((VLOOKUP($R6,'Ergebnisse Basisszenario'!$A$2:$G$20,HLOOKUP(T$1,'Ergebnisse Basisszenario'!$B$1:$G$21,21,FALSE)+1,FALSE)-VLOOKUP($R6,'Ergebnisse Basisszenario'!$A$2:$G$20,HLOOKUP(T$1,'Ergebnisse Basisszenario'!$B$1:$G$21,21,FALSE)+2,FALSE))&lt;0,TRUE,FALSE),
TRUE,FALSE)</f>
        <v>1</v>
      </c>
      <c r="U6" s="185" t="b">
        <f>IF(
IF((VLOOKUP($R6,$A$2:$G$18,HLOOKUP(U$1,$B$1:$G$19,19,FALSE)+1,FALSE)-VLOOKUP($R6,$A$2:$G$18,HLOOKUP(U$1,$B$1:$G$19,19,FALSE)+2,FALSE))&lt;0,TRUE,FALSE)
=
IF((VLOOKUP($R6,'Ergebnisse Basisszenario'!$A$2:$G$20,HLOOKUP(U$1,'Ergebnisse Basisszenario'!$B$1:$G$21,21,FALSE)+1,FALSE)-VLOOKUP($R6,'Ergebnisse Basisszenario'!$A$2:$G$20,HLOOKUP(U$1,'Ergebnisse Basisszenario'!$B$1:$G$21,21,FALSE)+2,FALSE))&lt;0,TRUE,FALSE),
TRUE,FALSE)</f>
        <v>1</v>
      </c>
    </row>
    <row r="7" spans="1:21" x14ac:dyDescent="0.3">
      <c r="A7" s="185" t="s">
        <v>912</v>
      </c>
      <c r="B7" s="191">
        <v>3.7692893844588377E-2</v>
      </c>
      <c r="C7" s="191">
        <v>3.3263429173257912E-2</v>
      </c>
      <c r="D7" s="191">
        <v>2.5007852154249839E-2</v>
      </c>
      <c r="E7" s="191">
        <v>3.6889814548854781E-2</v>
      </c>
      <c r="F7" s="191">
        <v>0.11977061911808221</v>
      </c>
      <c r="G7" s="191">
        <v>5.7234505653970369E-2</v>
      </c>
      <c r="H7" s="185" t="s">
        <v>913</v>
      </c>
      <c r="J7" s="185" t="s">
        <v>912</v>
      </c>
      <c r="K7" s="192">
        <f>(
VLOOKUP($J7,$A$2:$G$18,HLOOKUP(K$1,$B$1:$G$19,19,FALSE)+1,FALSE)
-
VLOOKUP($J7,'Ergebnisse Basisszenario'!$A$1:$H$21,HLOOKUP(K$1,'Ergebnisse Basisszenario'!$B$1:$G$21,21,FALSE)+1,FALSE)
)
/
VLOOKUP($J7,'Ergebnisse Basisszenario'!$A$1:$H$21,HLOOKUP(K$1,'Ergebnisse Basisszenario'!$B$1:$G$21,21,FALSE)+1,FALSE)</f>
        <v>-0.15754394464626653</v>
      </c>
      <c r="L7" s="192">
        <f>(
VLOOKUP($J7,$A$2:$G$18,HLOOKUP(L$1,$B$1:$G$19,19,FALSE)+1,FALSE)
-
VLOOKUP($J7,'Ergebnisse Basisszenario'!$A$1:$H$21,HLOOKUP(L$1,'Ergebnisse Basisszenario'!$B$1:$G$21,21,FALSE)+1,FALSE)
)
/
VLOOKUP($J7,'Ergebnisse Basisszenario'!$A$1:$H$21,HLOOKUP(L$1,'Ergebnisse Basisszenario'!$B$1:$G$21,21,FALSE)+1,FALSE)</f>
        <v>0</v>
      </c>
      <c r="M7" s="192">
        <f>(
VLOOKUP($J7,$A$2:$G$18,HLOOKUP(M$1,$B$1:$G$19,19,FALSE)+1,FALSE)
-
VLOOKUP($J7,'Ergebnisse Basisszenario'!$A$1:$H$21,HLOOKUP(M$1,'Ergebnisse Basisszenario'!$B$1:$G$21,21,FALSE)+1,FALSE)
)
/
VLOOKUP($J7,'Ergebnisse Basisszenario'!$A$1:$H$21,HLOOKUP(M$1,'Ergebnisse Basisszenario'!$B$1:$G$21,21,FALSE)+1,FALSE)</f>
        <v>-0.10293049695871252</v>
      </c>
      <c r="N7" s="192">
        <f>(
VLOOKUP($J7,$A$2:$G$18,HLOOKUP(N$1,$B$1:$G$19,19,FALSE)+1,FALSE)
-
VLOOKUP($J7,'Ergebnisse Basisszenario'!$A$1:$H$21,HLOOKUP(N$1,'Ergebnisse Basisszenario'!$B$1:$G$21,21,FALSE)+1,FALSE)
)
/
VLOOKUP($J7,'Ergebnisse Basisszenario'!$A$1:$H$21,HLOOKUP(N$1,'Ergebnisse Basisszenario'!$B$1:$G$21,21,FALSE)+1,FALSE)</f>
        <v>0</v>
      </c>
      <c r="O7" s="192">
        <f>(
VLOOKUP($J7,$A$2:$G$18,HLOOKUP(O$1,$B$1:$G$19,19,FALSE)+1,FALSE)
-
VLOOKUP($J7,'Ergebnisse Basisszenario'!$A$1:$H$21,HLOOKUP(O$1,'Ergebnisse Basisszenario'!$B$1:$G$21,21,FALSE)+1,FALSE)
)
/
VLOOKUP($J7,'Ergebnisse Basisszenario'!$A$1:$H$21,HLOOKUP(O$1,'Ergebnisse Basisszenario'!$B$1:$G$21,21,FALSE)+1,FALSE)</f>
        <v>-5.2765369073059593E-2</v>
      </c>
      <c r="P7" s="192">
        <f>(
VLOOKUP($J7,$A$2:$G$18,HLOOKUP(P$1,$B$1:$G$19,19,FALSE)+1,FALSE)
-
VLOOKUP($J7,'Ergebnisse Basisszenario'!$A$1:$H$21,HLOOKUP(P$1,'Ergebnisse Basisszenario'!$B$1:$G$21,21,FALSE)+1,FALSE)
)
/
VLOOKUP($J7,'Ergebnisse Basisszenario'!$A$1:$H$21,HLOOKUP(P$1,'Ergebnisse Basisszenario'!$B$1:$G$21,21,FALSE)+1,FALSE)</f>
        <v>0</v>
      </c>
      <c r="R7" s="185" t="s">
        <v>912</v>
      </c>
      <c r="S7" s="185" t="b">
        <f>IF(
IF((VLOOKUP($R7,$A$2:$G$18,HLOOKUP(S$1,$B$1:$G$19,19,FALSE)+1,FALSE)-VLOOKUP($R7,$A$2:$G$18,HLOOKUP(S$1,$B$1:$G$19,19,FALSE)+2,FALSE))&lt;0,TRUE,FALSE)
=
IF((VLOOKUP($R7,'Ergebnisse Basisszenario'!$A$2:$G$20,HLOOKUP(S$1,'Ergebnisse Basisszenario'!$B$1:$G$21,21,FALSE)+1,FALSE)-VLOOKUP($R7,'Ergebnisse Basisszenario'!$A$2:$G$20,HLOOKUP(S$1,'Ergebnisse Basisszenario'!$B$1:$G$21,21,FALSE)+2,FALSE))&lt;0,TRUE,FALSE),
TRUE,FALSE)</f>
        <v>1</v>
      </c>
      <c r="T7" s="185" t="b">
        <f>IF(
IF((VLOOKUP($R7,$A$2:$G$18,HLOOKUP(T$1,$B$1:$G$19,19,FALSE)+1,FALSE)-VLOOKUP($R7,$A$2:$G$18,HLOOKUP(T$1,$B$1:$G$19,19,FALSE)+2,FALSE))&lt;0,TRUE,FALSE)
=
IF((VLOOKUP($R7,'Ergebnisse Basisszenario'!$A$2:$G$20,HLOOKUP(T$1,'Ergebnisse Basisszenario'!$B$1:$G$21,21,FALSE)+1,FALSE)-VLOOKUP($R7,'Ergebnisse Basisszenario'!$A$2:$G$20,HLOOKUP(T$1,'Ergebnisse Basisszenario'!$B$1:$G$21,21,FALSE)+2,FALSE))&lt;0,TRUE,FALSE),
TRUE,FALSE)</f>
        <v>1</v>
      </c>
      <c r="U7" s="185" t="b">
        <f>IF(
IF((VLOOKUP($R7,$A$2:$G$18,HLOOKUP(U$1,$B$1:$G$19,19,FALSE)+1,FALSE)-VLOOKUP($R7,$A$2:$G$18,HLOOKUP(U$1,$B$1:$G$19,19,FALSE)+2,FALSE))&lt;0,TRUE,FALSE)
=
IF((VLOOKUP($R7,'Ergebnisse Basisszenario'!$A$2:$G$20,HLOOKUP(U$1,'Ergebnisse Basisszenario'!$B$1:$G$21,21,FALSE)+1,FALSE)-VLOOKUP($R7,'Ergebnisse Basisszenario'!$A$2:$G$20,HLOOKUP(U$1,'Ergebnisse Basisszenario'!$B$1:$G$21,21,FALSE)+2,FALSE))&lt;0,TRUE,FALSE),
TRUE,FALSE)</f>
        <v>1</v>
      </c>
    </row>
    <row r="8" spans="1:21" x14ac:dyDescent="0.3">
      <c r="A8" s="185" t="s">
        <v>914</v>
      </c>
      <c r="B8" s="191">
        <v>7.8086771514338987E-2</v>
      </c>
      <c r="C8" s="191">
        <v>3.1714480290257432E-2</v>
      </c>
      <c r="D8" s="191">
        <v>4.1282140966956253E-2</v>
      </c>
      <c r="E8" s="191">
        <v>3.4505488940419902E-2</v>
      </c>
      <c r="F8" s="191">
        <v>0.15608873577803961</v>
      </c>
      <c r="G8" s="191">
        <v>4.9915995256775668E-2</v>
      </c>
      <c r="H8" s="185" t="s">
        <v>915</v>
      </c>
      <c r="J8" s="185" t="s">
        <v>914</v>
      </c>
      <c r="K8" s="192">
        <f>(
VLOOKUP($J8,$A$2:$G$18,HLOOKUP(K$1,$B$1:$G$19,19,FALSE)+1,FALSE)
-
VLOOKUP($J8,'Ergebnisse Basisszenario'!$A$1:$H$21,HLOOKUP(K$1,'Ergebnisse Basisszenario'!$B$1:$G$21,21,FALSE)+1,FALSE)
)
/
VLOOKUP($J8,'Ergebnisse Basisszenario'!$A$1:$H$21,HLOOKUP(K$1,'Ergebnisse Basisszenario'!$B$1:$G$21,21,FALSE)+1,FALSE)</f>
        <v>-0.196112017466159</v>
      </c>
      <c r="L8" s="192">
        <f>(
VLOOKUP($J8,$A$2:$G$18,HLOOKUP(L$1,$B$1:$G$19,19,FALSE)+1,FALSE)
-
VLOOKUP($J8,'Ergebnisse Basisszenario'!$A$1:$H$21,HLOOKUP(L$1,'Ergebnisse Basisszenario'!$B$1:$G$21,21,FALSE)+1,FALSE)
)
/
VLOOKUP($J8,'Ergebnisse Basisszenario'!$A$1:$H$21,HLOOKUP(L$1,'Ergebnisse Basisszenario'!$B$1:$G$21,21,FALSE)+1,FALSE)</f>
        <v>0</v>
      </c>
      <c r="M8" s="192">
        <f>(
VLOOKUP($J8,$A$2:$G$18,HLOOKUP(M$1,$B$1:$G$19,19,FALSE)+1,FALSE)
-
VLOOKUP($J8,'Ergebnisse Basisszenario'!$A$1:$H$21,HLOOKUP(M$1,'Ergebnisse Basisszenario'!$B$1:$G$21,21,FALSE)+1,FALSE)
)
/
VLOOKUP($J8,'Ergebnisse Basisszenario'!$A$1:$H$21,HLOOKUP(M$1,'Ergebnisse Basisszenario'!$B$1:$G$21,21,FALSE)+1,FALSE)</f>
        <v>-0.19258206588681895</v>
      </c>
      <c r="N8" s="192">
        <f>(
VLOOKUP($J8,$A$2:$G$18,HLOOKUP(N$1,$B$1:$G$19,19,FALSE)+1,FALSE)
-
VLOOKUP($J8,'Ergebnisse Basisszenario'!$A$1:$H$21,HLOOKUP(N$1,'Ergebnisse Basisszenario'!$B$1:$G$21,21,FALSE)+1,FALSE)
)
/
VLOOKUP($J8,'Ergebnisse Basisszenario'!$A$1:$H$21,HLOOKUP(N$1,'Ergebnisse Basisszenario'!$B$1:$G$21,21,FALSE)+1,FALSE)</f>
        <v>0</v>
      </c>
      <c r="O8" s="192">
        <f>(
VLOOKUP($J8,$A$2:$G$18,HLOOKUP(O$1,$B$1:$G$19,19,FALSE)+1,FALSE)
-
VLOOKUP($J8,'Ergebnisse Basisszenario'!$A$1:$H$21,HLOOKUP(O$1,'Ergebnisse Basisszenario'!$B$1:$G$21,21,FALSE)+1,FALSE)
)
/
VLOOKUP($J8,'Ergebnisse Basisszenario'!$A$1:$H$21,HLOOKUP(O$1,'Ergebnisse Basisszenario'!$B$1:$G$21,21,FALSE)+1,FALSE)</f>
        <v>-0.1024376986325951</v>
      </c>
      <c r="P8" s="192">
        <f>(
VLOOKUP($J8,$A$2:$G$18,HLOOKUP(P$1,$B$1:$G$19,19,FALSE)+1,FALSE)
-
VLOOKUP($J8,'Ergebnisse Basisszenario'!$A$1:$H$21,HLOOKUP(P$1,'Ergebnisse Basisszenario'!$B$1:$G$21,21,FALSE)+1,FALSE)
)
/
VLOOKUP($J8,'Ergebnisse Basisszenario'!$A$1:$H$21,HLOOKUP(P$1,'Ergebnisse Basisszenario'!$B$1:$G$21,21,FALSE)+1,FALSE)</f>
        <v>0</v>
      </c>
      <c r="R8" s="185" t="s">
        <v>914</v>
      </c>
      <c r="S8" s="185" t="b">
        <f>IF(
IF((VLOOKUP($R8,$A$2:$G$18,HLOOKUP(S$1,$B$1:$G$19,19,FALSE)+1,FALSE)-VLOOKUP($R8,$A$2:$G$18,HLOOKUP(S$1,$B$1:$G$19,19,FALSE)+2,FALSE))&lt;0,TRUE,FALSE)
=
IF((VLOOKUP($R8,'Ergebnisse Basisszenario'!$A$2:$G$20,HLOOKUP(S$1,'Ergebnisse Basisszenario'!$B$1:$G$21,21,FALSE)+1,FALSE)-VLOOKUP($R8,'Ergebnisse Basisszenario'!$A$2:$G$20,HLOOKUP(S$1,'Ergebnisse Basisszenario'!$B$1:$G$21,21,FALSE)+2,FALSE))&lt;0,TRUE,FALSE),
TRUE,FALSE)</f>
        <v>1</v>
      </c>
      <c r="T8" s="185" t="b">
        <f>IF(
IF((VLOOKUP($R8,$A$2:$G$18,HLOOKUP(T$1,$B$1:$G$19,19,FALSE)+1,FALSE)-VLOOKUP($R8,$A$2:$G$18,HLOOKUP(T$1,$B$1:$G$19,19,FALSE)+2,FALSE))&lt;0,TRUE,FALSE)
=
IF((VLOOKUP($R8,'Ergebnisse Basisszenario'!$A$2:$G$20,HLOOKUP(T$1,'Ergebnisse Basisszenario'!$B$1:$G$21,21,FALSE)+1,FALSE)-VLOOKUP($R8,'Ergebnisse Basisszenario'!$A$2:$G$20,HLOOKUP(T$1,'Ergebnisse Basisszenario'!$B$1:$G$21,21,FALSE)+2,FALSE))&lt;0,TRUE,FALSE),
TRUE,FALSE)</f>
        <v>1</v>
      </c>
      <c r="U8" s="185" t="b">
        <f>IF(
IF((VLOOKUP($R8,$A$2:$G$18,HLOOKUP(U$1,$B$1:$G$19,19,FALSE)+1,FALSE)-VLOOKUP($R8,$A$2:$G$18,HLOOKUP(U$1,$B$1:$G$19,19,FALSE)+2,FALSE))&lt;0,TRUE,FALSE)
=
IF((VLOOKUP($R8,'Ergebnisse Basisszenario'!$A$2:$G$20,HLOOKUP(U$1,'Ergebnisse Basisszenario'!$B$1:$G$21,21,FALSE)+1,FALSE)-VLOOKUP($R8,'Ergebnisse Basisszenario'!$A$2:$G$20,HLOOKUP(U$1,'Ergebnisse Basisszenario'!$B$1:$G$21,21,FALSE)+2,FALSE))&lt;0,TRUE,FALSE),
TRUE,FALSE)</f>
        <v>1</v>
      </c>
    </row>
    <row r="9" spans="1:21" x14ac:dyDescent="0.3">
      <c r="A9" s="185" t="s">
        <v>916</v>
      </c>
      <c r="B9" s="191">
        <v>0.7160505759495992</v>
      </c>
      <c r="C9" s="191">
        <v>0.28211167118700092</v>
      </c>
      <c r="D9" s="191">
        <v>0.39929685734002951</v>
      </c>
      <c r="E9" s="191">
        <v>0.30069210920065731</v>
      </c>
      <c r="F9" s="191">
        <v>1.41670093545495</v>
      </c>
      <c r="G9" s="191">
        <v>0.4364207030612256</v>
      </c>
      <c r="H9" s="185" t="s">
        <v>917</v>
      </c>
      <c r="J9" s="185" t="s">
        <v>916</v>
      </c>
      <c r="K9" s="192">
        <f>(
VLOOKUP($J9,$A$2:$G$18,HLOOKUP(K$1,$B$1:$G$19,19,FALSE)+1,FALSE)
-
VLOOKUP($J9,'Ergebnisse Basisszenario'!$A$1:$H$21,HLOOKUP(K$1,'Ergebnisse Basisszenario'!$B$1:$G$21,21,FALSE)+1,FALSE)
)
/
VLOOKUP($J9,'Ergebnisse Basisszenario'!$A$1:$H$21,HLOOKUP(K$1,'Ergebnisse Basisszenario'!$B$1:$G$21,21,FALSE)+1,FALSE)</f>
        <v>-0.19272740996132717</v>
      </c>
      <c r="L9" s="192">
        <f>(
VLOOKUP($J9,$A$2:$G$18,HLOOKUP(L$1,$B$1:$G$19,19,FALSE)+1,FALSE)
-
VLOOKUP($J9,'Ergebnisse Basisszenario'!$A$1:$H$21,HLOOKUP(L$1,'Ergebnisse Basisszenario'!$B$1:$G$21,21,FALSE)+1,FALSE)
)
/
VLOOKUP($J9,'Ergebnisse Basisszenario'!$A$1:$H$21,HLOOKUP(L$1,'Ergebnisse Basisszenario'!$B$1:$G$21,21,FALSE)+1,FALSE)</f>
        <v>0</v>
      </c>
      <c r="M9" s="192">
        <f>(
VLOOKUP($J9,$A$2:$G$18,HLOOKUP(M$1,$B$1:$G$19,19,FALSE)+1,FALSE)
-
VLOOKUP($J9,'Ergebnisse Basisszenario'!$A$1:$H$21,HLOOKUP(M$1,'Ergebnisse Basisszenario'!$B$1:$G$21,21,FALSE)+1,FALSE)
)
/
VLOOKUP($J9,'Ergebnisse Basisszenario'!$A$1:$H$21,HLOOKUP(M$1,'Ergebnisse Basisszenario'!$B$1:$G$21,21,FALSE)+1,FALSE)</f>
        <v>-0.20376194133411638</v>
      </c>
      <c r="N9" s="192">
        <f>(
VLOOKUP($J9,$A$2:$G$18,HLOOKUP(N$1,$B$1:$G$19,19,FALSE)+1,FALSE)
-
VLOOKUP($J9,'Ergebnisse Basisszenario'!$A$1:$H$21,HLOOKUP(N$1,'Ergebnisse Basisszenario'!$B$1:$G$21,21,FALSE)+1,FALSE)
)
/
VLOOKUP($J9,'Ergebnisse Basisszenario'!$A$1:$H$21,HLOOKUP(N$1,'Ergebnisse Basisszenario'!$B$1:$G$21,21,FALSE)+1,FALSE)</f>
        <v>3.6922253383253398E-16</v>
      </c>
      <c r="O9" s="192">
        <f>(
VLOOKUP($J9,$A$2:$G$18,HLOOKUP(O$1,$B$1:$G$19,19,FALSE)+1,FALSE)
-
VLOOKUP($J9,'Ergebnisse Basisszenario'!$A$1:$H$21,HLOOKUP(O$1,'Ergebnisse Basisszenario'!$B$1:$G$21,21,FALSE)+1,FALSE)
)
/
VLOOKUP($J9,'Ergebnisse Basisszenario'!$A$1:$H$21,HLOOKUP(O$1,'Ergebnisse Basisszenario'!$B$1:$G$21,21,FALSE)+1,FALSE)</f>
        <v>-0.10128588595312385</v>
      </c>
      <c r="P9" s="192">
        <f>(
VLOOKUP($J9,$A$2:$G$18,HLOOKUP(P$1,$B$1:$G$19,19,FALSE)+1,FALSE)
-
VLOOKUP($J9,'Ergebnisse Basisszenario'!$A$1:$H$21,HLOOKUP(P$1,'Ergebnisse Basisszenario'!$B$1:$G$21,21,FALSE)+1,FALSE)
)
/
VLOOKUP($J9,'Ergebnisse Basisszenario'!$A$1:$H$21,HLOOKUP(P$1,'Ergebnisse Basisszenario'!$B$1:$G$21,21,FALSE)+1,FALSE)</f>
        <v>0</v>
      </c>
      <c r="R9" s="185" t="s">
        <v>916</v>
      </c>
      <c r="S9" s="185" t="b">
        <f>IF(
IF((VLOOKUP($R9,$A$2:$G$18,HLOOKUP(S$1,$B$1:$G$19,19,FALSE)+1,FALSE)-VLOOKUP($R9,$A$2:$G$18,HLOOKUP(S$1,$B$1:$G$19,19,FALSE)+2,FALSE))&lt;0,TRUE,FALSE)
=
IF((VLOOKUP($R9,'Ergebnisse Basisszenario'!$A$2:$G$20,HLOOKUP(S$1,'Ergebnisse Basisszenario'!$B$1:$G$21,21,FALSE)+1,FALSE)-VLOOKUP($R9,'Ergebnisse Basisszenario'!$A$2:$G$20,HLOOKUP(S$1,'Ergebnisse Basisszenario'!$B$1:$G$21,21,FALSE)+2,FALSE))&lt;0,TRUE,FALSE),
TRUE,FALSE)</f>
        <v>1</v>
      </c>
      <c r="T9" s="185" t="b">
        <f>IF(
IF((VLOOKUP($R9,$A$2:$G$18,HLOOKUP(T$1,$B$1:$G$19,19,FALSE)+1,FALSE)-VLOOKUP($R9,$A$2:$G$18,HLOOKUP(T$1,$B$1:$G$19,19,FALSE)+2,FALSE))&lt;0,TRUE,FALSE)
=
IF((VLOOKUP($R9,'Ergebnisse Basisszenario'!$A$2:$G$20,HLOOKUP(T$1,'Ergebnisse Basisszenario'!$B$1:$G$21,21,FALSE)+1,FALSE)-VLOOKUP($R9,'Ergebnisse Basisszenario'!$A$2:$G$20,HLOOKUP(T$1,'Ergebnisse Basisszenario'!$B$1:$G$21,21,FALSE)+2,FALSE))&lt;0,TRUE,FALSE),
TRUE,FALSE)</f>
        <v>1</v>
      </c>
      <c r="U9" s="185" t="b">
        <f>IF(
IF((VLOOKUP($R9,$A$2:$G$18,HLOOKUP(U$1,$B$1:$G$19,19,FALSE)+1,FALSE)-VLOOKUP($R9,$A$2:$G$18,HLOOKUP(U$1,$B$1:$G$19,19,FALSE)+2,FALSE))&lt;0,TRUE,FALSE)
=
IF((VLOOKUP($R9,'Ergebnisse Basisszenario'!$A$2:$G$20,HLOOKUP(U$1,'Ergebnisse Basisszenario'!$B$1:$G$21,21,FALSE)+1,FALSE)-VLOOKUP($R9,'Ergebnisse Basisszenario'!$A$2:$G$20,HLOOKUP(U$1,'Ergebnisse Basisszenario'!$B$1:$G$21,21,FALSE)+2,FALSE))&lt;0,TRUE,FALSE),
TRUE,FALSE)</f>
        <v>1</v>
      </c>
    </row>
    <row r="10" spans="1:21" x14ac:dyDescent="0.3">
      <c r="A10" s="185" t="s">
        <v>918</v>
      </c>
      <c r="B10" s="191">
        <v>3.1614025760334681E-7</v>
      </c>
      <c r="C10" s="191">
        <v>2.525459982681596E-8</v>
      </c>
      <c r="D10" s="191">
        <v>2.2107303214928461E-8</v>
      </c>
      <c r="E10" s="191">
        <v>2.3374140966321709E-8</v>
      </c>
      <c r="F10" s="191">
        <v>3.9860466175037019E-7</v>
      </c>
      <c r="G10" s="191">
        <v>3.5338986223895781E-8</v>
      </c>
      <c r="H10" s="185" t="s">
        <v>919</v>
      </c>
      <c r="J10" s="185" t="s">
        <v>918</v>
      </c>
      <c r="K10" s="192">
        <f>(
VLOOKUP($J10,$A$2:$G$18,HLOOKUP(K$1,$B$1:$G$19,19,FALSE)+1,FALSE)
-
VLOOKUP($J10,'Ergebnisse Basisszenario'!$A$1:$H$21,HLOOKUP(K$1,'Ergebnisse Basisszenario'!$B$1:$G$21,21,FALSE)+1,FALSE)
)
/
VLOOKUP($J10,'Ergebnisse Basisszenario'!$A$1:$H$21,HLOOKUP(K$1,'Ergebnisse Basisszenario'!$B$1:$G$21,21,FALSE)+1,FALSE)</f>
        <v>-0.25699242805951739</v>
      </c>
      <c r="L10" s="192">
        <f>(
VLOOKUP($J10,$A$2:$G$18,HLOOKUP(L$1,$B$1:$G$19,19,FALSE)+1,FALSE)
-
VLOOKUP($J10,'Ergebnisse Basisszenario'!$A$1:$H$21,HLOOKUP(L$1,'Ergebnisse Basisszenario'!$B$1:$G$21,21,FALSE)+1,FALSE)
)
/
VLOOKUP($J10,'Ergebnisse Basisszenario'!$A$1:$H$21,HLOOKUP(L$1,'Ergebnisse Basisszenario'!$B$1:$G$21,21,FALSE)+1,FALSE)</f>
        <v>0</v>
      </c>
      <c r="M10" s="192">
        <f>(
VLOOKUP($J10,$A$2:$G$18,HLOOKUP(M$1,$B$1:$G$19,19,FALSE)+1,FALSE)
-
VLOOKUP($J10,'Ergebnisse Basisszenario'!$A$1:$H$21,HLOOKUP(M$1,'Ergebnisse Basisszenario'!$B$1:$G$21,21,FALSE)+1,FALSE)
)
/
VLOOKUP($J10,'Ergebnisse Basisszenario'!$A$1:$H$21,HLOOKUP(M$1,'Ergebnisse Basisszenario'!$B$1:$G$21,21,FALSE)+1,FALSE)</f>
        <v>-0.18202871674048443</v>
      </c>
      <c r="N10" s="192">
        <f>(
VLOOKUP($J10,$A$2:$G$18,HLOOKUP(N$1,$B$1:$G$19,19,FALSE)+1,FALSE)
-
VLOOKUP($J10,'Ergebnisse Basisszenario'!$A$1:$H$21,HLOOKUP(N$1,'Ergebnisse Basisszenario'!$B$1:$G$21,21,FALSE)+1,FALSE)
)
/
VLOOKUP($J10,'Ergebnisse Basisszenario'!$A$1:$H$21,HLOOKUP(N$1,'Ergebnisse Basisszenario'!$B$1:$G$21,21,FALSE)+1,FALSE)</f>
        <v>0</v>
      </c>
      <c r="O10" s="192">
        <f>(
VLOOKUP($J10,$A$2:$G$18,HLOOKUP(O$1,$B$1:$G$19,19,FALSE)+1,FALSE)
-
VLOOKUP($J10,'Ergebnisse Basisszenario'!$A$1:$H$21,HLOOKUP(O$1,'Ergebnisse Basisszenario'!$B$1:$G$21,21,FALSE)+1,FALSE)
)
/
VLOOKUP($J10,'Ergebnisse Basisszenario'!$A$1:$H$21,HLOOKUP(O$1,'Ergebnisse Basisszenario'!$B$1:$G$21,21,FALSE)+1,FALSE)</f>
        <v>-0.20245685677669922</v>
      </c>
      <c r="P10" s="192">
        <f>(
VLOOKUP($J10,$A$2:$G$18,HLOOKUP(P$1,$B$1:$G$19,19,FALSE)+1,FALSE)
-
VLOOKUP($J10,'Ergebnisse Basisszenario'!$A$1:$H$21,HLOOKUP(P$1,'Ergebnisse Basisszenario'!$B$1:$G$21,21,FALSE)+1,FALSE)
)
/
VLOOKUP($J10,'Ergebnisse Basisszenario'!$A$1:$H$21,HLOOKUP(P$1,'Ergebnisse Basisszenario'!$B$1:$G$21,21,FALSE)+1,FALSE)</f>
        <v>3.7451243555762167E-16</v>
      </c>
      <c r="R10" s="185" t="s">
        <v>918</v>
      </c>
      <c r="S10" s="185" t="b">
        <f>IF(
IF((VLOOKUP($R10,$A$2:$G$18,HLOOKUP(S$1,$B$1:$G$19,19,FALSE)+1,FALSE)-VLOOKUP($R10,$A$2:$G$18,HLOOKUP(S$1,$B$1:$G$19,19,FALSE)+2,FALSE))&lt;0,TRUE,FALSE)
=
IF((VLOOKUP($R10,'Ergebnisse Basisszenario'!$A$2:$G$20,HLOOKUP(S$1,'Ergebnisse Basisszenario'!$B$1:$G$21,21,FALSE)+1,FALSE)-VLOOKUP($R10,'Ergebnisse Basisszenario'!$A$2:$G$20,HLOOKUP(S$1,'Ergebnisse Basisszenario'!$B$1:$G$21,21,FALSE)+2,FALSE))&lt;0,TRUE,FALSE),
TRUE,FALSE)</f>
        <v>1</v>
      </c>
      <c r="T10" s="185" t="b">
        <f>IF(
IF((VLOOKUP($R10,$A$2:$G$18,HLOOKUP(T$1,$B$1:$G$19,19,FALSE)+1,FALSE)-VLOOKUP($R10,$A$2:$G$18,HLOOKUP(T$1,$B$1:$G$19,19,FALSE)+2,FALSE))&lt;0,TRUE,FALSE)
=
IF((VLOOKUP($R10,'Ergebnisse Basisszenario'!$A$2:$G$20,HLOOKUP(T$1,'Ergebnisse Basisszenario'!$B$1:$G$21,21,FALSE)+1,FALSE)-VLOOKUP($R10,'Ergebnisse Basisszenario'!$A$2:$G$20,HLOOKUP(T$1,'Ergebnisse Basisszenario'!$B$1:$G$21,21,FALSE)+2,FALSE))&lt;0,TRUE,FALSE),
TRUE,FALSE)</f>
        <v>0</v>
      </c>
      <c r="U10" s="185" t="b">
        <f>IF(
IF((VLOOKUP($R10,$A$2:$G$18,HLOOKUP(U$1,$B$1:$G$19,19,FALSE)+1,FALSE)-VLOOKUP($R10,$A$2:$G$18,HLOOKUP(U$1,$B$1:$G$19,19,FALSE)+2,FALSE))&lt;0,TRUE,FALSE)
=
IF((VLOOKUP($R10,'Ergebnisse Basisszenario'!$A$2:$G$20,HLOOKUP(U$1,'Ergebnisse Basisszenario'!$B$1:$G$21,21,FALSE)+1,FALSE)-VLOOKUP($R10,'Ergebnisse Basisszenario'!$A$2:$G$20,HLOOKUP(U$1,'Ergebnisse Basisszenario'!$B$1:$G$21,21,FALSE)+2,FALSE))&lt;0,TRUE,FALSE),
TRUE,FALSE)</f>
        <v>1</v>
      </c>
    </row>
    <row r="11" spans="1:21" x14ac:dyDescent="0.3">
      <c r="A11" s="185" t="s">
        <v>920</v>
      </c>
      <c r="B11" s="191">
        <v>1.676528204867821E-6</v>
      </c>
      <c r="C11" s="191">
        <v>4.9330147233183431E-7</v>
      </c>
      <c r="D11" s="191">
        <v>5.1603221059182909E-7</v>
      </c>
      <c r="E11" s="191">
        <v>5.0970076436931958E-7</v>
      </c>
      <c r="F11" s="191">
        <v>2.8540520284076782E-6</v>
      </c>
      <c r="G11" s="191">
        <v>7.5795203269469677E-7</v>
      </c>
      <c r="H11" s="185" t="s">
        <v>919</v>
      </c>
      <c r="J11" s="185" t="s">
        <v>920</v>
      </c>
      <c r="K11" s="192">
        <f>(
VLOOKUP($J11,$A$2:$G$18,HLOOKUP(K$1,$B$1:$G$19,19,FALSE)+1,FALSE)
-
VLOOKUP($J11,'Ergebnisse Basisszenario'!$A$1:$H$21,HLOOKUP(K$1,'Ergebnisse Basisszenario'!$B$1:$G$21,21,FALSE)+1,FALSE)
)
/
VLOOKUP($J11,'Ergebnisse Basisszenario'!$A$1:$H$21,HLOOKUP(K$1,'Ergebnisse Basisszenario'!$B$1:$G$21,21,FALSE)+1,FALSE)</f>
        <v>-0.22841375742697018</v>
      </c>
      <c r="L11" s="192">
        <f>(
VLOOKUP($J11,$A$2:$G$18,HLOOKUP(L$1,$B$1:$G$19,19,FALSE)+1,FALSE)
-
VLOOKUP($J11,'Ergebnisse Basisszenario'!$A$1:$H$21,HLOOKUP(L$1,'Ergebnisse Basisszenario'!$B$1:$G$21,21,FALSE)+1,FALSE)
)
/
VLOOKUP($J11,'Ergebnisse Basisszenario'!$A$1:$H$21,HLOOKUP(L$1,'Ergebnisse Basisszenario'!$B$1:$G$21,21,FALSE)+1,FALSE)</f>
        <v>0</v>
      </c>
      <c r="M11" s="192">
        <f>(
VLOOKUP($J11,$A$2:$G$18,HLOOKUP(M$1,$B$1:$G$19,19,FALSE)+1,FALSE)
-
VLOOKUP($J11,'Ergebnisse Basisszenario'!$A$1:$H$21,HLOOKUP(M$1,'Ergebnisse Basisszenario'!$B$1:$G$21,21,FALSE)+1,FALSE)
)
/
VLOOKUP($J11,'Ergebnisse Basisszenario'!$A$1:$H$21,HLOOKUP(M$1,'Ergebnisse Basisszenario'!$B$1:$G$21,21,FALSE)+1,FALSE)</f>
        <v>-0.18078913133541064</v>
      </c>
      <c r="N11" s="192">
        <f>(
VLOOKUP($J11,$A$2:$G$18,HLOOKUP(N$1,$B$1:$G$19,19,FALSE)+1,FALSE)
-
VLOOKUP($J11,'Ergebnisse Basisszenario'!$A$1:$H$21,HLOOKUP(N$1,'Ergebnisse Basisszenario'!$B$1:$G$21,21,FALSE)+1,FALSE)
)
/
VLOOKUP($J11,'Ergebnisse Basisszenario'!$A$1:$H$21,HLOOKUP(N$1,'Ergebnisse Basisszenario'!$B$1:$G$21,21,FALSE)+1,FALSE)</f>
        <v>0</v>
      </c>
      <c r="O11" s="192">
        <f>(
VLOOKUP($J11,$A$2:$G$18,HLOOKUP(O$1,$B$1:$G$19,19,FALSE)+1,FALSE)
-
VLOOKUP($J11,'Ergebnisse Basisszenario'!$A$1:$H$21,HLOOKUP(O$1,'Ergebnisse Basisszenario'!$B$1:$G$21,21,FALSE)+1,FALSE)
)
/
VLOOKUP($J11,'Ergebnisse Basisszenario'!$A$1:$H$21,HLOOKUP(O$1,'Ergebnisse Basisszenario'!$B$1:$G$21,21,FALSE)+1,FALSE)</f>
        <v>-0.13869955438727738</v>
      </c>
      <c r="P11" s="192">
        <f>(
VLOOKUP($J11,$A$2:$G$18,HLOOKUP(P$1,$B$1:$G$19,19,FALSE)+1,FALSE)
-
VLOOKUP($J11,'Ergebnisse Basisszenario'!$A$1:$H$21,HLOOKUP(P$1,'Ergebnisse Basisszenario'!$B$1:$G$21,21,FALSE)+1,FALSE)
)
/
VLOOKUP($J11,'Ergebnisse Basisszenario'!$A$1:$H$21,HLOOKUP(P$1,'Ergebnisse Basisszenario'!$B$1:$G$21,21,FALSE)+1,FALSE)</f>
        <v>0</v>
      </c>
      <c r="R11" s="185" t="s">
        <v>920</v>
      </c>
      <c r="S11" s="185" t="b">
        <f>IF(
IF((VLOOKUP($R11,$A$2:$G$18,HLOOKUP(S$1,$B$1:$G$19,19,FALSE)+1,FALSE)-VLOOKUP($R11,$A$2:$G$18,HLOOKUP(S$1,$B$1:$G$19,19,FALSE)+2,FALSE))&lt;0,TRUE,FALSE)
=
IF((VLOOKUP($R11,'Ergebnisse Basisszenario'!$A$2:$G$20,HLOOKUP(S$1,'Ergebnisse Basisszenario'!$B$1:$G$21,21,FALSE)+1,FALSE)-VLOOKUP($R11,'Ergebnisse Basisszenario'!$A$2:$G$20,HLOOKUP(S$1,'Ergebnisse Basisszenario'!$B$1:$G$21,21,FALSE)+2,FALSE))&lt;0,TRUE,FALSE),
TRUE,FALSE)</f>
        <v>1</v>
      </c>
      <c r="T11" s="185" t="b">
        <f>IF(
IF((VLOOKUP($R11,$A$2:$G$18,HLOOKUP(T$1,$B$1:$G$19,19,FALSE)+1,FALSE)-VLOOKUP($R11,$A$2:$G$18,HLOOKUP(T$1,$B$1:$G$19,19,FALSE)+2,FALSE))&lt;0,TRUE,FALSE)
=
IF((VLOOKUP($R11,'Ergebnisse Basisszenario'!$A$2:$G$20,HLOOKUP(T$1,'Ergebnisse Basisszenario'!$B$1:$G$21,21,FALSE)+1,FALSE)-VLOOKUP($R11,'Ergebnisse Basisszenario'!$A$2:$G$20,HLOOKUP(T$1,'Ergebnisse Basisszenario'!$B$1:$G$21,21,FALSE)+2,FALSE))&lt;0,TRUE,FALSE),
TRUE,FALSE)</f>
        <v>1</v>
      </c>
      <c r="U11" s="185" t="b">
        <f>IF(
IF((VLOOKUP($R11,$A$2:$G$18,HLOOKUP(U$1,$B$1:$G$19,19,FALSE)+1,FALSE)-VLOOKUP($R11,$A$2:$G$18,HLOOKUP(U$1,$B$1:$G$19,19,FALSE)+2,FALSE))&lt;0,TRUE,FALSE)
=
IF((VLOOKUP($R11,'Ergebnisse Basisszenario'!$A$2:$G$20,HLOOKUP(U$1,'Ergebnisse Basisszenario'!$B$1:$G$21,21,FALSE)+1,FALSE)-VLOOKUP($R11,'Ergebnisse Basisszenario'!$A$2:$G$20,HLOOKUP(U$1,'Ergebnisse Basisszenario'!$B$1:$G$21,21,FALSE)+2,FALSE))&lt;0,TRUE,FALSE),
TRUE,FALSE)</f>
        <v>1</v>
      </c>
    </row>
    <row r="12" spans="1:21" x14ac:dyDescent="0.3">
      <c r="A12" s="185" t="s">
        <v>921</v>
      </c>
      <c r="B12" s="191">
        <v>5.3243746216958892</v>
      </c>
      <c r="C12" s="191">
        <v>4.4516033757564406</v>
      </c>
      <c r="D12" s="191">
        <v>4.5478866131399034</v>
      </c>
      <c r="E12" s="191">
        <v>5.0451966543540179</v>
      </c>
      <c r="F12" s="191">
        <v>16.960382613061778</v>
      </c>
      <c r="G12" s="191">
        <v>7.6042637054239197</v>
      </c>
      <c r="H12" s="185" t="s">
        <v>922</v>
      </c>
      <c r="J12" s="185" t="s">
        <v>921</v>
      </c>
      <c r="K12" s="192">
        <f>(
VLOOKUP($J12,$A$2:$G$18,HLOOKUP(K$1,$B$1:$G$19,19,FALSE)+1,FALSE)
-
VLOOKUP($J12,'Ergebnisse Basisszenario'!$A$1:$H$21,HLOOKUP(K$1,'Ergebnisse Basisszenario'!$B$1:$G$21,21,FALSE)+1,FALSE)
)
/
VLOOKUP($J12,'Ergebnisse Basisszenario'!$A$1:$H$21,HLOOKUP(K$1,'Ergebnisse Basisszenario'!$B$1:$G$21,21,FALSE)+1,FALSE)</f>
        <v>-0.13681491838612805</v>
      </c>
      <c r="L12" s="192">
        <f>(
VLOOKUP($J12,$A$2:$G$18,HLOOKUP(L$1,$B$1:$G$19,19,FALSE)+1,FALSE)
-
VLOOKUP($J12,'Ergebnisse Basisszenario'!$A$1:$H$21,HLOOKUP(L$1,'Ergebnisse Basisszenario'!$B$1:$G$21,21,FALSE)+1,FALSE)
)
/
VLOOKUP($J12,'Ergebnisse Basisszenario'!$A$1:$H$21,HLOOKUP(L$1,'Ergebnisse Basisszenario'!$B$1:$G$21,21,FALSE)+1,FALSE)</f>
        <v>0</v>
      </c>
      <c r="M12" s="192">
        <f>(
VLOOKUP($J12,$A$2:$G$18,HLOOKUP(M$1,$B$1:$G$19,19,FALSE)+1,FALSE)
-
VLOOKUP($J12,'Ergebnisse Basisszenario'!$A$1:$H$21,HLOOKUP(M$1,'Ergebnisse Basisszenario'!$B$1:$G$21,21,FALSE)+1,FALSE)
)
/
VLOOKUP($J12,'Ergebnisse Basisszenario'!$A$1:$H$21,HLOOKUP(M$1,'Ergebnisse Basisszenario'!$B$1:$G$21,21,FALSE)+1,FALSE)</f>
        <v>-0.15625539080471507</v>
      </c>
      <c r="N12" s="192">
        <f>(
VLOOKUP($J12,$A$2:$G$18,HLOOKUP(N$1,$B$1:$G$19,19,FALSE)+1,FALSE)
-
VLOOKUP($J12,'Ergebnisse Basisszenario'!$A$1:$H$21,HLOOKUP(N$1,'Ergebnisse Basisszenario'!$B$1:$G$21,21,FALSE)+1,FALSE)
)
/
VLOOKUP($J12,'Ergebnisse Basisszenario'!$A$1:$H$21,HLOOKUP(N$1,'Ergebnisse Basisszenario'!$B$1:$G$21,21,FALSE)+1,FALSE)</f>
        <v>0</v>
      </c>
      <c r="O12" s="192">
        <f>(
VLOOKUP($J12,$A$2:$G$18,HLOOKUP(O$1,$B$1:$G$19,19,FALSE)+1,FALSE)
-
VLOOKUP($J12,'Ergebnisse Basisszenario'!$A$1:$H$21,HLOOKUP(O$1,'Ergebnisse Basisszenario'!$B$1:$G$21,21,FALSE)+1,FALSE)
)
/
VLOOKUP($J12,'Ergebnisse Basisszenario'!$A$1:$H$21,HLOOKUP(O$1,'Ergebnisse Basisszenario'!$B$1:$G$21,21,FALSE)+1,FALSE)</f>
        <v>-4.6974095998017135E-2</v>
      </c>
      <c r="P12" s="192">
        <f>(
VLOOKUP($J12,$A$2:$G$18,HLOOKUP(P$1,$B$1:$G$19,19,FALSE)+1,FALSE)
-
VLOOKUP($J12,'Ergebnisse Basisszenario'!$A$1:$H$21,HLOOKUP(P$1,'Ergebnisse Basisszenario'!$B$1:$G$21,21,FALSE)+1,FALSE)
)
/
VLOOKUP($J12,'Ergebnisse Basisszenario'!$A$1:$H$21,HLOOKUP(P$1,'Ergebnisse Basisszenario'!$B$1:$G$21,21,FALSE)+1,FALSE)</f>
        <v>0</v>
      </c>
      <c r="R12" s="185" t="s">
        <v>921</v>
      </c>
      <c r="S12" s="185" t="b">
        <f>IF(
IF((VLOOKUP($R12,$A$2:$G$18,HLOOKUP(S$1,$B$1:$G$19,19,FALSE)+1,FALSE)-VLOOKUP($R12,$A$2:$G$18,HLOOKUP(S$1,$B$1:$G$19,19,FALSE)+2,FALSE))&lt;0,TRUE,FALSE)
=
IF((VLOOKUP($R12,'Ergebnisse Basisszenario'!$A$2:$G$20,HLOOKUP(S$1,'Ergebnisse Basisszenario'!$B$1:$G$21,21,FALSE)+1,FALSE)-VLOOKUP($R12,'Ergebnisse Basisszenario'!$A$2:$G$20,HLOOKUP(S$1,'Ergebnisse Basisszenario'!$B$1:$G$21,21,FALSE)+2,FALSE))&lt;0,TRUE,FALSE),
TRUE,FALSE)</f>
        <v>1</v>
      </c>
      <c r="T12" s="185" t="b">
        <f>IF(
IF((VLOOKUP($R12,$A$2:$G$18,HLOOKUP(T$1,$B$1:$G$19,19,FALSE)+1,FALSE)-VLOOKUP($R12,$A$2:$G$18,HLOOKUP(T$1,$B$1:$G$19,19,FALSE)+2,FALSE))&lt;0,TRUE,FALSE)
=
IF((VLOOKUP($R12,'Ergebnisse Basisszenario'!$A$2:$G$20,HLOOKUP(T$1,'Ergebnisse Basisszenario'!$B$1:$G$21,21,FALSE)+1,FALSE)-VLOOKUP($R12,'Ergebnisse Basisszenario'!$A$2:$G$20,HLOOKUP(T$1,'Ergebnisse Basisszenario'!$B$1:$G$21,21,FALSE)+2,FALSE))&lt;0,TRUE,FALSE),
TRUE,FALSE)</f>
        <v>0</v>
      </c>
      <c r="U12" s="185" t="b">
        <f>IF(
IF((VLOOKUP($R12,$A$2:$G$18,HLOOKUP(U$1,$B$1:$G$19,19,FALSE)+1,FALSE)-VLOOKUP($R12,$A$2:$G$18,HLOOKUP(U$1,$B$1:$G$19,19,FALSE)+2,FALSE))&lt;0,TRUE,FALSE)
=
IF((VLOOKUP($R12,'Ergebnisse Basisszenario'!$A$2:$G$20,HLOOKUP(U$1,'Ergebnisse Basisszenario'!$B$1:$G$21,21,FALSE)+1,FALSE)-VLOOKUP($R12,'Ergebnisse Basisszenario'!$A$2:$G$20,HLOOKUP(U$1,'Ergebnisse Basisszenario'!$B$1:$G$21,21,FALSE)+2,FALSE))&lt;0,TRUE,FALSE),
TRUE,FALSE)</f>
        <v>1</v>
      </c>
    </row>
    <row r="13" spans="1:21" x14ac:dyDescent="0.3">
      <c r="A13" s="185" t="s">
        <v>923</v>
      </c>
      <c r="B13" s="191">
        <v>3175.512508000967</v>
      </c>
      <c r="C13" s="191">
        <v>144.08293864711169</v>
      </c>
      <c r="D13" s="191">
        <v>160.68278704809609</v>
      </c>
      <c r="E13" s="191">
        <v>133.3234966234605</v>
      </c>
      <c r="F13" s="191">
        <v>6282.2786811732949</v>
      </c>
      <c r="G13" s="191">
        <v>197.67987970482241</v>
      </c>
      <c r="H13" s="185" t="s">
        <v>924</v>
      </c>
      <c r="J13" s="185" t="s">
        <v>923</v>
      </c>
      <c r="K13" s="192">
        <f>(
VLOOKUP($J13,$A$2:$G$18,HLOOKUP(K$1,$B$1:$G$19,19,FALSE)+1,FALSE)
-
VLOOKUP($J13,'Ergebnisse Basisszenario'!$A$1:$H$21,HLOOKUP(K$1,'Ergebnisse Basisszenario'!$B$1:$G$21,21,FALSE)+1,FALSE)
)
/
VLOOKUP($J13,'Ergebnisse Basisszenario'!$A$1:$H$21,HLOOKUP(K$1,'Ergebnisse Basisszenario'!$B$1:$G$21,21,FALSE)+1,FALSE)</f>
        <v>-2.8582313738826644E-2</v>
      </c>
      <c r="L13" s="192">
        <f>(
VLOOKUP($J13,$A$2:$G$18,HLOOKUP(L$1,$B$1:$G$19,19,FALSE)+1,FALSE)
-
VLOOKUP($J13,'Ergebnisse Basisszenario'!$A$1:$H$21,HLOOKUP(L$1,'Ergebnisse Basisszenario'!$B$1:$G$21,21,FALSE)+1,FALSE)
)
/
VLOOKUP($J13,'Ergebnisse Basisszenario'!$A$1:$H$21,HLOOKUP(L$1,'Ergebnisse Basisszenario'!$B$1:$G$21,21,FALSE)+1,FALSE)</f>
        <v>0</v>
      </c>
      <c r="M13" s="192">
        <f>(
VLOOKUP($J13,$A$2:$G$18,HLOOKUP(M$1,$B$1:$G$19,19,FALSE)+1,FALSE)
-
VLOOKUP($J13,'Ergebnisse Basisszenario'!$A$1:$H$21,HLOOKUP(M$1,'Ergebnisse Basisszenario'!$B$1:$G$21,21,FALSE)+1,FALSE)
)
/
VLOOKUP($J13,'Ergebnisse Basisszenario'!$A$1:$H$21,HLOOKUP(M$1,'Ergebnisse Basisszenario'!$B$1:$G$21,21,FALSE)+1,FALSE)</f>
        <v>-0.2062724994394417</v>
      </c>
      <c r="N13" s="192">
        <f>(
VLOOKUP($J13,$A$2:$G$18,HLOOKUP(N$1,$B$1:$G$19,19,FALSE)+1,FALSE)
-
VLOOKUP($J13,'Ergebnisse Basisszenario'!$A$1:$H$21,HLOOKUP(N$1,'Ergebnisse Basisszenario'!$B$1:$G$21,21,FALSE)+1,FALSE)
)
/
VLOOKUP($J13,'Ergebnisse Basisszenario'!$A$1:$H$21,HLOOKUP(N$1,'Ergebnisse Basisszenario'!$B$1:$G$21,21,FALSE)+1,FALSE)</f>
        <v>0</v>
      </c>
      <c r="O13" s="192">
        <f>(
VLOOKUP($J13,$A$2:$G$18,HLOOKUP(O$1,$B$1:$G$19,19,FALSE)+1,FALSE)
-
VLOOKUP($J13,'Ergebnisse Basisszenario'!$A$1:$H$21,HLOOKUP(O$1,'Ergebnisse Basisszenario'!$B$1:$G$21,21,FALSE)+1,FALSE)
)
/
VLOOKUP($J13,'Ergebnisse Basisszenario'!$A$1:$H$21,HLOOKUP(O$1,'Ergebnisse Basisszenario'!$B$1:$G$21,21,FALSE)+1,FALSE)</f>
        <v>-1.3908475686820337E-2</v>
      </c>
      <c r="P13" s="192">
        <f>(
VLOOKUP($J13,$A$2:$G$18,HLOOKUP(P$1,$B$1:$G$19,19,FALSE)+1,FALSE)
-
VLOOKUP($J13,'Ergebnisse Basisszenario'!$A$1:$H$21,HLOOKUP(P$1,'Ergebnisse Basisszenario'!$B$1:$G$21,21,FALSE)+1,FALSE)
)
/
VLOOKUP($J13,'Ergebnisse Basisszenario'!$A$1:$H$21,HLOOKUP(P$1,'Ergebnisse Basisszenario'!$B$1:$G$21,21,FALSE)+1,FALSE)</f>
        <v>0</v>
      </c>
      <c r="R13" s="185" t="s">
        <v>923</v>
      </c>
      <c r="S13" s="185" t="b">
        <f>IF(
IF((VLOOKUP($R13,$A$2:$G$18,HLOOKUP(S$1,$B$1:$G$19,19,FALSE)+1,FALSE)-VLOOKUP($R13,$A$2:$G$18,HLOOKUP(S$1,$B$1:$G$19,19,FALSE)+2,FALSE))&lt;0,TRUE,FALSE)
=
IF((VLOOKUP($R13,'Ergebnisse Basisszenario'!$A$2:$G$20,HLOOKUP(S$1,'Ergebnisse Basisszenario'!$B$1:$G$21,21,FALSE)+1,FALSE)-VLOOKUP($R13,'Ergebnisse Basisszenario'!$A$2:$G$20,HLOOKUP(S$1,'Ergebnisse Basisszenario'!$B$1:$G$21,21,FALSE)+2,FALSE))&lt;0,TRUE,FALSE),
TRUE,FALSE)</f>
        <v>1</v>
      </c>
      <c r="T13" s="185" t="b">
        <f>IF(
IF((VLOOKUP($R13,$A$2:$G$18,HLOOKUP(T$1,$B$1:$G$19,19,FALSE)+1,FALSE)-VLOOKUP($R13,$A$2:$G$18,HLOOKUP(T$1,$B$1:$G$19,19,FALSE)+2,FALSE))&lt;0,TRUE,FALSE)
=
IF((VLOOKUP($R13,'Ergebnisse Basisszenario'!$A$2:$G$20,HLOOKUP(T$1,'Ergebnisse Basisszenario'!$B$1:$G$21,21,FALSE)+1,FALSE)-VLOOKUP($R13,'Ergebnisse Basisszenario'!$A$2:$G$20,HLOOKUP(T$1,'Ergebnisse Basisszenario'!$B$1:$G$21,21,FALSE)+2,FALSE))&lt;0,TRUE,FALSE),
TRUE,FALSE)</f>
        <v>1</v>
      </c>
      <c r="U13" s="185" t="b">
        <f>IF(
IF((VLOOKUP($R13,$A$2:$G$18,HLOOKUP(U$1,$B$1:$G$19,19,FALSE)+1,FALSE)-VLOOKUP($R13,$A$2:$G$18,HLOOKUP(U$1,$B$1:$G$19,19,FALSE)+2,FALSE))&lt;0,TRUE,FALSE)
=
IF((VLOOKUP($R13,'Ergebnisse Basisszenario'!$A$2:$G$20,HLOOKUP(U$1,'Ergebnisse Basisszenario'!$B$1:$G$21,21,FALSE)+1,FALSE)-VLOOKUP($R13,'Ergebnisse Basisszenario'!$A$2:$G$20,HLOOKUP(U$1,'Ergebnisse Basisszenario'!$B$1:$G$21,21,FALSE)+2,FALSE))&lt;0,TRUE,FALSE),
TRUE,FALSE)</f>
        <v>1</v>
      </c>
    </row>
    <row r="14" spans="1:21" x14ac:dyDescent="0.3">
      <c r="A14" s="185" t="s">
        <v>925</v>
      </c>
      <c r="B14" s="191">
        <v>6.8232843869868041E-4</v>
      </c>
      <c r="C14" s="191">
        <v>3.4805261259712793E-4</v>
      </c>
      <c r="D14" s="191">
        <v>2.9504164607509632E-4</v>
      </c>
      <c r="E14" s="191">
        <v>3.5068917978307618E-4</v>
      </c>
      <c r="F14" s="191">
        <v>1.4666263166902721E-3</v>
      </c>
      <c r="G14" s="191">
        <v>5.1653977546422668E-4</v>
      </c>
      <c r="H14" s="185" t="s">
        <v>926</v>
      </c>
      <c r="J14" s="185" t="s">
        <v>925</v>
      </c>
      <c r="K14" s="192">
        <f>(
VLOOKUP($J14,$A$2:$G$18,HLOOKUP(K$1,$B$1:$G$19,19,FALSE)+1,FALSE)
-
VLOOKUP($J14,'Ergebnisse Basisszenario'!$A$1:$H$21,HLOOKUP(K$1,'Ergebnisse Basisszenario'!$B$1:$G$21,21,FALSE)+1,FALSE)
)
/
VLOOKUP($J14,'Ergebnisse Basisszenario'!$A$1:$H$21,HLOOKUP(K$1,'Ergebnisse Basisszenario'!$B$1:$G$21,21,FALSE)+1,FALSE)</f>
        <v>-0.20180661100387226</v>
      </c>
      <c r="L14" s="192">
        <f>(
VLOOKUP($J14,$A$2:$G$18,HLOOKUP(L$1,$B$1:$G$19,19,FALSE)+1,FALSE)
-
VLOOKUP($J14,'Ergebnisse Basisszenario'!$A$1:$H$21,HLOOKUP(L$1,'Ergebnisse Basisszenario'!$B$1:$G$21,21,FALSE)+1,FALSE)
)
/
VLOOKUP($J14,'Ergebnisse Basisszenario'!$A$1:$H$21,HLOOKUP(L$1,'Ergebnisse Basisszenario'!$B$1:$G$21,21,FALSE)+1,FALSE)</f>
        <v>0</v>
      </c>
      <c r="M14" s="192">
        <f>(
VLOOKUP($J14,$A$2:$G$18,HLOOKUP(M$1,$B$1:$G$19,19,FALSE)+1,FALSE)
-
VLOOKUP($J14,'Ergebnisse Basisszenario'!$A$1:$H$21,HLOOKUP(M$1,'Ergebnisse Basisszenario'!$B$1:$G$21,21,FALSE)+1,FALSE)
)
/
VLOOKUP($J14,'Ergebnisse Basisszenario'!$A$1:$H$21,HLOOKUP(M$1,'Ergebnisse Basisszenario'!$B$1:$G$21,21,FALSE)+1,FALSE)</f>
        <v>-0.16447462746260577</v>
      </c>
      <c r="N14" s="192">
        <f>(
VLOOKUP($J14,$A$2:$G$18,HLOOKUP(N$1,$B$1:$G$19,19,FALSE)+1,FALSE)
-
VLOOKUP($J14,'Ergebnisse Basisszenario'!$A$1:$H$21,HLOOKUP(N$1,'Ergebnisse Basisszenario'!$B$1:$G$21,21,FALSE)+1,FALSE)
)
/
VLOOKUP($J14,'Ergebnisse Basisszenario'!$A$1:$H$21,HLOOKUP(N$1,'Ergebnisse Basisszenario'!$B$1:$G$21,21,FALSE)+1,FALSE)</f>
        <v>0</v>
      </c>
      <c r="O14" s="192">
        <f>(
VLOOKUP($J14,$A$2:$G$18,HLOOKUP(O$1,$B$1:$G$19,19,FALSE)+1,FALSE)
-
VLOOKUP($J14,'Ergebnisse Basisszenario'!$A$1:$H$21,HLOOKUP(O$1,'Ergebnisse Basisszenario'!$B$1:$G$21,21,FALSE)+1,FALSE)
)
/
VLOOKUP($J14,'Ergebnisse Basisszenario'!$A$1:$H$21,HLOOKUP(O$1,'Ergebnisse Basisszenario'!$B$1:$G$21,21,FALSE)+1,FALSE)</f>
        <v>-0.1005109524400913</v>
      </c>
      <c r="P14" s="192">
        <f>(
VLOOKUP($J14,$A$2:$G$18,HLOOKUP(P$1,$B$1:$G$19,19,FALSE)+1,FALSE)
-
VLOOKUP($J14,'Ergebnisse Basisszenario'!$A$1:$H$21,HLOOKUP(P$1,'Ergebnisse Basisszenario'!$B$1:$G$21,21,FALSE)+1,FALSE)
)
/
VLOOKUP($J14,'Ergebnisse Basisszenario'!$A$1:$H$21,HLOOKUP(P$1,'Ergebnisse Basisszenario'!$B$1:$G$21,21,FALSE)+1,FALSE)</f>
        <v>0</v>
      </c>
      <c r="R14" s="185" t="s">
        <v>925</v>
      </c>
      <c r="S14" s="185" t="b">
        <f>IF(
IF((VLOOKUP($R14,$A$2:$G$18,HLOOKUP(S$1,$B$1:$G$19,19,FALSE)+1,FALSE)-VLOOKUP($R14,$A$2:$G$18,HLOOKUP(S$1,$B$1:$G$19,19,FALSE)+2,FALSE))&lt;0,TRUE,FALSE)
=
IF((VLOOKUP($R14,'Ergebnisse Basisszenario'!$A$2:$G$20,HLOOKUP(S$1,'Ergebnisse Basisszenario'!$B$1:$G$21,21,FALSE)+1,FALSE)-VLOOKUP($R14,'Ergebnisse Basisszenario'!$A$2:$G$20,HLOOKUP(S$1,'Ergebnisse Basisszenario'!$B$1:$G$21,21,FALSE)+2,FALSE))&lt;0,TRUE,FALSE),
TRUE,FALSE)</f>
        <v>1</v>
      </c>
      <c r="T14" s="185" t="b">
        <f>IF(
IF((VLOOKUP($R14,$A$2:$G$18,HLOOKUP(T$1,$B$1:$G$19,19,FALSE)+1,FALSE)-VLOOKUP($R14,$A$2:$G$18,HLOOKUP(T$1,$B$1:$G$19,19,FALSE)+2,FALSE))&lt;0,TRUE,FALSE)
=
IF((VLOOKUP($R14,'Ergebnisse Basisszenario'!$A$2:$G$20,HLOOKUP(T$1,'Ergebnisse Basisszenario'!$B$1:$G$21,21,FALSE)+1,FALSE)-VLOOKUP($R14,'Ergebnisse Basisszenario'!$A$2:$G$20,HLOOKUP(T$1,'Ergebnisse Basisszenario'!$B$1:$G$21,21,FALSE)+2,FALSE))&lt;0,TRUE,FALSE),
TRUE,FALSE)</f>
        <v>0</v>
      </c>
      <c r="U14" s="185" t="b">
        <f>IF(
IF((VLOOKUP($R14,$A$2:$G$18,HLOOKUP(U$1,$B$1:$G$19,19,FALSE)+1,FALSE)-VLOOKUP($R14,$A$2:$G$18,HLOOKUP(U$1,$B$1:$G$19,19,FALSE)+2,FALSE))&lt;0,TRUE,FALSE)
=
IF((VLOOKUP($R14,'Ergebnisse Basisszenario'!$A$2:$G$20,HLOOKUP(U$1,'Ergebnisse Basisszenario'!$B$1:$G$21,21,FALSE)+1,FALSE)-VLOOKUP($R14,'Ergebnisse Basisszenario'!$A$2:$G$20,HLOOKUP(U$1,'Ergebnisse Basisszenario'!$B$1:$G$21,21,FALSE)+2,FALSE))&lt;0,TRUE,FALSE),
TRUE,FALSE)</f>
        <v>1</v>
      </c>
    </row>
    <row r="15" spans="1:21" x14ac:dyDescent="0.3">
      <c r="A15" s="185" t="s">
        <v>927</v>
      </c>
      <c r="B15" s="191">
        <v>6.2580468475819991E-6</v>
      </c>
      <c r="C15" s="191">
        <v>4.7380706577290914E-6</v>
      </c>
      <c r="D15" s="191">
        <v>4.0880941828989486E-6</v>
      </c>
      <c r="E15" s="191">
        <v>5.1017049474516524E-6</v>
      </c>
      <c r="F15" s="191">
        <v>1.7540971166131582E-5</v>
      </c>
      <c r="G15" s="191">
        <v>7.7128952182561026E-6</v>
      </c>
      <c r="H15" s="185" t="s">
        <v>928</v>
      </c>
      <c r="J15" s="185" t="s">
        <v>927</v>
      </c>
      <c r="K15" s="192">
        <f>(
VLOOKUP($J15,$A$2:$G$18,HLOOKUP(K$1,$B$1:$G$19,19,FALSE)+1,FALSE)
-
VLOOKUP($J15,'Ergebnisse Basisszenario'!$A$1:$H$21,HLOOKUP(K$1,'Ergebnisse Basisszenario'!$B$1:$G$21,21,FALSE)+1,FALSE)
)
/
VLOOKUP($J15,'Ergebnisse Basisszenario'!$A$1:$H$21,HLOOKUP(K$1,'Ergebnisse Basisszenario'!$B$1:$G$21,21,FALSE)+1,FALSE)</f>
        <v>-0.13685690570773162</v>
      </c>
      <c r="L15" s="192">
        <f>(
VLOOKUP($J15,$A$2:$G$18,HLOOKUP(L$1,$B$1:$G$19,19,FALSE)+1,FALSE)
-
VLOOKUP($J15,'Ergebnisse Basisszenario'!$A$1:$H$21,HLOOKUP(L$1,'Ergebnisse Basisszenario'!$B$1:$G$21,21,FALSE)+1,FALSE)
)
/
VLOOKUP($J15,'Ergebnisse Basisszenario'!$A$1:$H$21,HLOOKUP(L$1,'Ergebnisse Basisszenario'!$B$1:$G$21,21,FALSE)+1,FALSE)</f>
        <v>0</v>
      </c>
      <c r="M15" s="192">
        <f>(
VLOOKUP($J15,$A$2:$G$18,HLOOKUP(M$1,$B$1:$G$19,19,FALSE)+1,FALSE)
-
VLOOKUP($J15,'Ergebnisse Basisszenario'!$A$1:$H$21,HLOOKUP(M$1,'Ergebnisse Basisszenario'!$B$1:$G$21,21,FALSE)+1,FALSE)
)
/
VLOOKUP($J15,'Ergebnisse Basisszenario'!$A$1:$H$21,HLOOKUP(M$1,'Ergebnisse Basisszenario'!$B$1:$G$21,21,FALSE)+1,FALSE)</f>
        <v>-0.12825654414914034</v>
      </c>
      <c r="N15" s="192">
        <f>(
VLOOKUP($J15,$A$2:$G$18,HLOOKUP(N$1,$B$1:$G$19,19,FALSE)+1,FALSE)
-
VLOOKUP($J15,'Ergebnisse Basisszenario'!$A$1:$H$21,HLOOKUP(N$1,'Ergebnisse Basisszenario'!$B$1:$G$21,21,FALSE)+1,FALSE)
)
/
VLOOKUP($J15,'Ergebnisse Basisszenario'!$A$1:$H$21,HLOOKUP(N$1,'Ergebnisse Basisszenario'!$B$1:$G$21,21,FALSE)+1,FALSE)</f>
        <v>0</v>
      </c>
      <c r="O15" s="192">
        <f>(
VLOOKUP($J15,$A$2:$G$18,HLOOKUP(O$1,$B$1:$G$19,19,FALSE)+1,FALSE)
-
VLOOKUP($J15,'Ergebnisse Basisszenario'!$A$1:$H$21,HLOOKUP(O$1,'Ergebnisse Basisszenario'!$B$1:$G$21,21,FALSE)+1,FALSE)
)
/
VLOOKUP($J15,'Ergebnisse Basisszenario'!$A$1:$H$21,HLOOKUP(O$1,'Ergebnisse Basisszenario'!$B$1:$G$21,21,FALSE)+1,FALSE)</f>
        <v>-5.1516998580588537E-2</v>
      </c>
      <c r="P15" s="192">
        <f>(
VLOOKUP($J15,$A$2:$G$18,HLOOKUP(P$1,$B$1:$G$19,19,FALSE)+1,FALSE)
-
VLOOKUP($J15,'Ergebnisse Basisszenario'!$A$1:$H$21,HLOOKUP(P$1,'Ergebnisse Basisszenario'!$B$1:$G$21,21,FALSE)+1,FALSE)
)
/
VLOOKUP($J15,'Ergebnisse Basisszenario'!$A$1:$H$21,HLOOKUP(P$1,'Ergebnisse Basisszenario'!$B$1:$G$21,21,FALSE)+1,FALSE)</f>
        <v>0</v>
      </c>
      <c r="R15" s="185" t="s">
        <v>927</v>
      </c>
      <c r="S15" s="185" t="b">
        <f>IF(
IF((VLOOKUP($R15,$A$2:$G$18,HLOOKUP(S$1,$B$1:$G$19,19,FALSE)+1,FALSE)-VLOOKUP($R15,$A$2:$G$18,HLOOKUP(S$1,$B$1:$G$19,19,FALSE)+2,FALSE))&lt;0,TRUE,FALSE)
=
IF((VLOOKUP($R15,'Ergebnisse Basisszenario'!$A$2:$G$20,HLOOKUP(S$1,'Ergebnisse Basisszenario'!$B$1:$G$21,21,FALSE)+1,FALSE)-VLOOKUP($R15,'Ergebnisse Basisszenario'!$A$2:$G$20,HLOOKUP(S$1,'Ergebnisse Basisszenario'!$B$1:$G$21,21,FALSE)+2,FALSE))&lt;0,TRUE,FALSE),
TRUE,FALSE)</f>
        <v>1</v>
      </c>
      <c r="T15" s="185" t="b">
        <f>IF(
IF((VLOOKUP($R15,$A$2:$G$18,HLOOKUP(T$1,$B$1:$G$19,19,FALSE)+1,FALSE)-VLOOKUP($R15,$A$2:$G$18,HLOOKUP(T$1,$B$1:$G$19,19,FALSE)+2,FALSE))&lt;0,TRUE,FALSE)
=
IF((VLOOKUP($R15,'Ergebnisse Basisszenario'!$A$2:$G$20,HLOOKUP(T$1,'Ergebnisse Basisszenario'!$B$1:$G$21,21,FALSE)+1,FALSE)-VLOOKUP($R15,'Ergebnisse Basisszenario'!$A$2:$G$20,HLOOKUP(T$1,'Ergebnisse Basisszenario'!$B$1:$G$21,21,FALSE)+2,FALSE))&lt;0,TRUE,FALSE),
TRUE,FALSE)</f>
        <v>1</v>
      </c>
      <c r="U15" s="185" t="b">
        <f>IF(
IF((VLOOKUP($R15,$A$2:$G$18,HLOOKUP(U$1,$B$1:$G$19,19,FALSE)+1,FALSE)-VLOOKUP($R15,$A$2:$G$18,HLOOKUP(U$1,$B$1:$G$19,19,FALSE)+2,FALSE))&lt;0,TRUE,FALSE)
=
IF((VLOOKUP($R15,'Ergebnisse Basisszenario'!$A$2:$G$20,HLOOKUP(U$1,'Ergebnisse Basisszenario'!$B$1:$G$21,21,FALSE)+1,FALSE)-VLOOKUP($R15,'Ergebnisse Basisszenario'!$A$2:$G$20,HLOOKUP(U$1,'Ergebnisse Basisszenario'!$B$1:$G$21,21,FALSE)+2,FALSE))&lt;0,TRUE,FALSE),
TRUE,FALSE)</f>
        <v>1</v>
      </c>
    </row>
    <row r="16" spans="1:21" x14ac:dyDescent="0.3">
      <c r="A16" s="185" t="s">
        <v>929</v>
      </c>
      <c r="B16" s="191">
        <v>4.7553028114374613E-6</v>
      </c>
      <c r="C16" s="191">
        <v>9.6015961159734082E-7</v>
      </c>
      <c r="D16" s="191">
        <v>1.603375591032117E-6</v>
      </c>
      <c r="E16" s="191">
        <v>9.3746099383097403E-7</v>
      </c>
      <c r="F16" s="191">
        <v>6.4464062352510543E-6</v>
      </c>
      <c r="G16" s="191">
        <v>1.315620972399055E-6</v>
      </c>
      <c r="H16" s="185" t="s">
        <v>930</v>
      </c>
      <c r="J16" s="185" t="s">
        <v>929</v>
      </c>
      <c r="K16" s="192">
        <f>(
VLOOKUP($J16,$A$2:$G$18,HLOOKUP(K$1,$B$1:$G$19,19,FALSE)+1,FALSE)
-
VLOOKUP($J16,'Ergebnisse Basisszenario'!$A$1:$H$21,HLOOKUP(K$1,'Ergebnisse Basisszenario'!$B$1:$G$21,21,FALSE)+1,FALSE)
)
/
VLOOKUP($J16,'Ergebnisse Basisszenario'!$A$1:$H$21,HLOOKUP(K$1,'Ergebnisse Basisszenario'!$B$1:$G$21,21,FALSE)+1,FALSE)</f>
        <v>-0.23733706994773682</v>
      </c>
      <c r="L16" s="192">
        <f>(
VLOOKUP($J16,$A$2:$G$18,HLOOKUP(L$1,$B$1:$G$19,19,FALSE)+1,FALSE)
-
VLOOKUP($J16,'Ergebnisse Basisszenario'!$A$1:$H$21,HLOOKUP(L$1,'Ergebnisse Basisszenario'!$B$1:$G$21,21,FALSE)+1,FALSE)
)
/
VLOOKUP($J16,'Ergebnisse Basisszenario'!$A$1:$H$21,HLOOKUP(L$1,'Ergebnisse Basisszenario'!$B$1:$G$21,21,FALSE)+1,FALSE)</f>
        <v>0</v>
      </c>
      <c r="M16" s="192">
        <f>(
VLOOKUP($J16,$A$2:$G$18,HLOOKUP(M$1,$B$1:$G$19,19,FALSE)+1,FALSE)
-
VLOOKUP($J16,'Ergebnisse Basisszenario'!$A$1:$H$21,HLOOKUP(M$1,'Ergebnisse Basisszenario'!$B$1:$G$21,21,FALSE)+1,FALSE)
)
/
VLOOKUP($J16,'Ergebnisse Basisszenario'!$A$1:$H$21,HLOOKUP(M$1,'Ergebnisse Basisszenario'!$B$1:$G$21,21,FALSE)+1,FALSE)</f>
        <v>-0.22430517268138023</v>
      </c>
      <c r="N16" s="192">
        <f>(
VLOOKUP($J16,$A$2:$G$18,HLOOKUP(N$1,$B$1:$G$19,19,FALSE)+1,FALSE)
-
VLOOKUP($J16,'Ergebnisse Basisszenario'!$A$1:$H$21,HLOOKUP(N$1,'Ergebnisse Basisszenario'!$B$1:$G$21,21,FALSE)+1,FALSE)
)
/
VLOOKUP($J16,'Ergebnisse Basisszenario'!$A$1:$H$21,HLOOKUP(N$1,'Ergebnisse Basisszenario'!$B$1:$G$21,21,FALSE)+1,FALSE)</f>
        <v>0</v>
      </c>
      <c r="O16" s="192">
        <f>(
VLOOKUP($J16,$A$2:$G$18,HLOOKUP(O$1,$B$1:$G$19,19,FALSE)+1,FALSE)
-
VLOOKUP($J16,'Ergebnisse Basisszenario'!$A$1:$H$21,HLOOKUP(O$1,'Ergebnisse Basisszenario'!$B$1:$G$21,21,FALSE)+1,FALSE)
)
/
VLOOKUP($J16,'Ergebnisse Basisszenario'!$A$1:$H$21,HLOOKUP(O$1,'Ergebnisse Basisszenario'!$B$1:$G$21,21,FALSE)+1,FALSE)</f>
        <v>-0.15959814724192553</v>
      </c>
      <c r="P16" s="192">
        <f>(
VLOOKUP($J16,$A$2:$G$18,HLOOKUP(P$1,$B$1:$G$19,19,FALSE)+1,FALSE)
-
VLOOKUP($J16,'Ergebnisse Basisszenario'!$A$1:$H$21,HLOOKUP(P$1,'Ergebnisse Basisszenario'!$B$1:$G$21,21,FALSE)+1,FALSE)
)
/
VLOOKUP($J16,'Ergebnisse Basisszenario'!$A$1:$H$21,HLOOKUP(P$1,'Ergebnisse Basisszenario'!$B$1:$G$21,21,FALSE)+1,FALSE)</f>
        <v>0</v>
      </c>
      <c r="R16" s="185" t="s">
        <v>929</v>
      </c>
      <c r="S16" s="185" t="b">
        <f>IF(
IF((VLOOKUP($R16,$A$2:$G$18,HLOOKUP(S$1,$B$1:$G$19,19,FALSE)+1,FALSE)-VLOOKUP($R16,$A$2:$G$18,HLOOKUP(S$1,$B$1:$G$19,19,FALSE)+2,FALSE))&lt;0,TRUE,FALSE)
=
IF((VLOOKUP($R16,'Ergebnisse Basisszenario'!$A$2:$G$20,HLOOKUP(S$1,'Ergebnisse Basisszenario'!$B$1:$G$21,21,FALSE)+1,FALSE)-VLOOKUP($R16,'Ergebnisse Basisszenario'!$A$2:$G$20,HLOOKUP(S$1,'Ergebnisse Basisszenario'!$B$1:$G$21,21,FALSE)+2,FALSE))&lt;0,TRUE,FALSE),
TRUE,FALSE)</f>
        <v>1</v>
      </c>
      <c r="T16" s="185" t="b">
        <f>IF(
IF((VLOOKUP($R16,$A$2:$G$18,HLOOKUP(T$1,$B$1:$G$19,19,FALSE)+1,FALSE)-VLOOKUP($R16,$A$2:$G$18,HLOOKUP(T$1,$B$1:$G$19,19,FALSE)+2,FALSE))&lt;0,TRUE,FALSE)
=
IF((VLOOKUP($R16,'Ergebnisse Basisszenario'!$A$2:$G$20,HLOOKUP(T$1,'Ergebnisse Basisszenario'!$B$1:$G$21,21,FALSE)+1,FALSE)-VLOOKUP($R16,'Ergebnisse Basisszenario'!$A$2:$G$20,HLOOKUP(T$1,'Ergebnisse Basisszenario'!$B$1:$G$21,21,FALSE)+2,FALSE))&lt;0,TRUE,FALSE),
TRUE,FALSE)</f>
        <v>1</v>
      </c>
      <c r="U16" s="185" t="b">
        <f>IF(
IF((VLOOKUP($R16,$A$2:$G$18,HLOOKUP(U$1,$B$1:$G$19,19,FALSE)+1,FALSE)-VLOOKUP($R16,$A$2:$G$18,HLOOKUP(U$1,$B$1:$G$19,19,FALSE)+2,FALSE))&lt;0,TRUE,FALSE)
=
IF((VLOOKUP($R16,'Ergebnisse Basisszenario'!$A$2:$G$20,HLOOKUP(U$1,'Ergebnisse Basisszenario'!$B$1:$G$21,21,FALSE)+1,FALSE)-VLOOKUP($R16,'Ergebnisse Basisszenario'!$A$2:$G$20,HLOOKUP(U$1,'Ergebnisse Basisszenario'!$B$1:$G$21,21,FALSE)+2,FALSE))&lt;0,TRUE,FALSE),
TRUE,FALSE)</f>
        <v>1</v>
      </c>
    </row>
    <row r="17" spans="1:21" x14ac:dyDescent="0.3">
      <c r="A17" s="185" t="s">
        <v>931</v>
      </c>
      <c r="B17" s="191">
        <v>0.28519707121541837</v>
      </c>
      <c r="C17" s="191">
        <v>0.10031635463626799</v>
      </c>
      <c r="D17" s="191">
        <v>0.14919545129672421</v>
      </c>
      <c r="E17" s="191">
        <v>0.1084147719420253</v>
      </c>
      <c r="F17" s="191">
        <v>0.50215926299084634</v>
      </c>
      <c r="G17" s="191">
        <v>0.155637320607075</v>
      </c>
      <c r="H17" s="185" t="s">
        <v>932</v>
      </c>
      <c r="J17" s="185" t="s">
        <v>931</v>
      </c>
      <c r="K17" s="192">
        <f>(
VLOOKUP($J17,$A$2:$G$18,HLOOKUP(K$1,$B$1:$G$19,19,FALSE)+1,FALSE)
-
VLOOKUP($J17,'Ergebnisse Basisszenario'!$A$1:$H$21,HLOOKUP(K$1,'Ergebnisse Basisszenario'!$B$1:$G$21,21,FALSE)+1,FALSE)
)
/
VLOOKUP($J17,'Ergebnisse Basisszenario'!$A$1:$H$21,HLOOKUP(K$1,'Ergebnisse Basisszenario'!$B$1:$G$21,21,FALSE)+1,FALSE)</f>
        <v>-0.1941064748643905</v>
      </c>
      <c r="L17" s="192">
        <f>(
VLOOKUP($J17,$A$2:$G$18,HLOOKUP(L$1,$B$1:$G$19,19,FALSE)+1,FALSE)
-
VLOOKUP($J17,'Ergebnisse Basisszenario'!$A$1:$H$21,HLOOKUP(L$1,'Ergebnisse Basisszenario'!$B$1:$G$21,21,FALSE)+1,FALSE)
)
/
VLOOKUP($J17,'Ergebnisse Basisszenario'!$A$1:$H$21,HLOOKUP(L$1,'Ergebnisse Basisszenario'!$B$1:$G$21,21,FALSE)+1,FALSE)</f>
        <v>0</v>
      </c>
      <c r="M17" s="192">
        <f>(
VLOOKUP($J17,$A$2:$G$18,HLOOKUP(M$1,$B$1:$G$19,19,FALSE)+1,FALSE)
-
VLOOKUP($J17,'Ergebnisse Basisszenario'!$A$1:$H$21,HLOOKUP(M$1,'Ergebnisse Basisszenario'!$B$1:$G$21,21,FALSE)+1,FALSE)
)
/
VLOOKUP($J17,'Ergebnisse Basisszenario'!$A$1:$H$21,HLOOKUP(M$1,'Ergebnisse Basisszenario'!$B$1:$G$21,21,FALSE)+1,FALSE)</f>
        <v>-0.20111451815695164</v>
      </c>
      <c r="N17" s="192">
        <f>(
VLOOKUP($J17,$A$2:$G$18,HLOOKUP(N$1,$B$1:$G$19,19,FALSE)+1,FALSE)
-
VLOOKUP($J17,'Ergebnisse Basisszenario'!$A$1:$H$21,HLOOKUP(N$1,'Ergebnisse Basisszenario'!$B$1:$G$21,21,FALSE)+1,FALSE)
)
/
VLOOKUP($J17,'Ergebnisse Basisszenario'!$A$1:$H$21,HLOOKUP(N$1,'Ergebnisse Basisszenario'!$B$1:$G$21,21,FALSE)+1,FALSE)</f>
        <v>0</v>
      </c>
      <c r="O17" s="192">
        <f>(
VLOOKUP($J17,$A$2:$G$18,HLOOKUP(O$1,$B$1:$G$19,19,FALSE)+1,FALSE)
-
VLOOKUP($J17,'Ergebnisse Basisszenario'!$A$1:$H$21,HLOOKUP(O$1,'Ergebnisse Basisszenario'!$B$1:$G$21,21,FALSE)+1,FALSE)
)
/
VLOOKUP($J17,'Ergebnisse Basisszenario'!$A$1:$H$21,HLOOKUP(O$1,'Ergebnisse Basisszenario'!$B$1:$G$21,21,FALSE)+1,FALSE)</f>
        <v>-0.11344369664799404</v>
      </c>
      <c r="P17" s="192">
        <f>(
VLOOKUP($J17,$A$2:$G$18,HLOOKUP(P$1,$B$1:$G$19,19,FALSE)+1,FALSE)
-
VLOOKUP($J17,'Ergebnisse Basisszenario'!$A$1:$H$21,HLOOKUP(P$1,'Ergebnisse Basisszenario'!$B$1:$G$21,21,FALSE)+1,FALSE)
)
/
VLOOKUP($J17,'Ergebnisse Basisszenario'!$A$1:$H$21,HLOOKUP(P$1,'Ergebnisse Basisszenario'!$B$1:$G$21,21,FALSE)+1,FALSE)</f>
        <v>0</v>
      </c>
      <c r="R17" s="185" t="s">
        <v>931</v>
      </c>
      <c r="S17" s="185" t="b">
        <f>IF(
IF((VLOOKUP($R17,$A$2:$G$18,HLOOKUP(S$1,$B$1:$G$19,19,FALSE)+1,FALSE)-VLOOKUP($R17,$A$2:$G$18,HLOOKUP(S$1,$B$1:$G$19,19,FALSE)+2,FALSE))&lt;0,TRUE,FALSE)
=
IF((VLOOKUP($R17,'Ergebnisse Basisszenario'!$A$2:$G$20,HLOOKUP(S$1,'Ergebnisse Basisszenario'!$B$1:$G$21,21,FALSE)+1,FALSE)-VLOOKUP($R17,'Ergebnisse Basisszenario'!$A$2:$G$20,HLOOKUP(S$1,'Ergebnisse Basisszenario'!$B$1:$G$21,21,FALSE)+2,FALSE))&lt;0,TRUE,FALSE),
TRUE,FALSE)</f>
        <v>1</v>
      </c>
      <c r="T17" s="185" t="b">
        <f>IF(
IF((VLOOKUP($R17,$A$2:$G$18,HLOOKUP(T$1,$B$1:$G$19,19,FALSE)+1,FALSE)-VLOOKUP($R17,$A$2:$G$18,HLOOKUP(T$1,$B$1:$G$19,19,FALSE)+2,FALSE))&lt;0,TRUE,FALSE)
=
IF((VLOOKUP($R17,'Ergebnisse Basisszenario'!$A$2:$G$20,HLOOKUP(T$1,'Ergebnisse Basisszenario'!$B$1:$G$21,21,FALSE)+1,FALSE)-VLOOKUP($R17,'Ergebnisse Basisszenario'!$A$2:$G$20,HLOOKUP(T$1,'Ergebnisse Basisszenario'!$B$1:$G$21,21,FALSE)+2,FALSE))&lt;0,TRUE,FALSE),
TRUE,FALSE)</f>
        <v>1</v>
      </c>
      <c r="U17" s="185" t="b">
        <f>IF(
IF((VLOOKUP($R17,$A$2:$G$18,HLOOKUP(U$1,$B$1:$G$19,19,FALSE)+1,FALSE)-VLOOKUP($R17,$A$2:$G$18,HLOOKUP(U$1,$B$1:$G$19,19,FALSE)+2,FALSE))&lt;0,TRUE,FALSE)
=
IF((VLOOKUP($R17,'Ergebnisse Basisszenario'!$A$2:$G$20,HLOOKUP(U$1,'Ergebnisse Basisszenario'!$B$1:$G$21,21,FALSE)+1,FALSE)-VLOOKUP($R17,'Ergebnisse Basisszenario'!$A$2:$G$20,HLOOKUP(U$1,'Ergebnisse Basisszenario'!$B$1:$G$21,21,FALSE)+2,FALSE))&lt;0,TRUE,FALSE),
TRUE,FALSE)</f>
        <v>1</v>
      </c>
    </row>
    <row r="18" spans="1:21" x14ac:dyDescent="0.3">
      <c r="A18" s="185" t="s">
        <v>933</v>
      </c>
      <c r="B18" s="191">
        <v>31.55378651421038</v>
      </c>
      <c r="C18" s="191">
        <v>10.6454099233185</v>
      </c>
      <c r="D18" s="191">
        <v>17.403947368139299</v>
      </c>
      <c r="E18" s="191">
        <v>11.51274914059475</v>
      </c>
      <c r="F18" s="191">
        <v>58.201384512277407</v>
      </c>
      <c r="G18" s="191">
        <v>15.866095117759199</v>
      </c>
      <c r="H18" s="185" t="s">
        <v>934</v>
      </c>
      <c r="J18" s="185" t="s">
        <v>933</v>
      </c>
      <c r="K18" s="192">
        <f>(
VLOOKUP($J18,$A$2:$G$18,HLOOKUP(K$1,$B$1:$G$19,19,FALSE)+1,FALSE)
-
VLOOKUP($J18,'Ergebnisse Basisszenario'!$A$1:$H$21,HLOOKUP(K$1,'Ergebnisse Basisszenario'!$B$1:$G$21,21,FALSE)+1,FALSE)
)
/
VLOOKUP($J18,'Ergebnisse Basisszenario'!$A$1:$H$21,HLOOKUP(K$1,'Ergebnisse Basisszenario'!$B$1:$G$21,21,FALSE)+1,FALSE)</f>
        <v>-0.19300402319517532</v>
      </c>
      <c r="L18" s="192">
        <f>(
VLOOKUP($J18,$A$2:$G$18,HLOOKUP(L$1,$B$1:$G$19,19,FALSE)+1,FALSE)
-
VLOOKUP($J18,'Ergebnisse Basisszenario'!$A$1:$H$21,HLOOKUP(L$1,'Ergebnisse Basisszenario'!$B$1:$G$21,21,FALSE)+1,FALSE)
)
/
VLOOKUP($J18,'Ergebnisse Basisszenario'!$A$1:$H$21,HLOOKUP(L$1,'Ergebnisse Basisszenario'!$B$1:$G$21,21,FALSE)+1,FALSE)</f>
        <v>0</v>
      </c>
      <c r="M18" s="192">
        <f>(
VLOOKUP($J18,$A$2:$G$18,HLOOKUP(M$1,$B$1:$G$19,19,FALSE)+1,FALSE)
-
VLOOKUP($J18,'Ergebnisse Basisszenario'!$A$1:$H$21,HLOOKUP(M$1,'Ergebnisse Basisszenario'!$B$1:$G$21,21,FALSE)+1,FALSE)
)
/
VLOOKUP($J18,'Ergebnisse Basisszenario'!$A$1:$H$21,HLOOKUP(M$1,'Ergebnisse Basisszenario'!$B$1:$G$21,21,FALSE)+1,FALSE)</f>
        <v>-0.21946851771028553</v>
      </c>
      <c r="N18" s="192">
        <f>(
VLOOKUP($J18,$A$2:$G$18,HLOOKUP(N$1,$B$1:$G$19,19,FALSE)+1,FALSE)
-
VLOOKUP($J18,'Ergebnisse Basisszenario'!$A$1:$H$21,HLOOKUP(N$1,'Ergebnisse Basisszenario'!$B$1:$G$21,21,FALSE)+1,FALSE)
)
/
VLOOKUP($J18,'Ergebnisse Basisszenario'!$A$1:$H$21,HLOOKUP(N$1,'Ergebnisse Basisszenario'!$B$1:$G$21,21,FALSE)+1,FALSE)</f>
        <v>0</v>
      </c>
      <c r="O18" s="192">
        <f>(
VLOOKUP($J18,$A$2:$G$18,HLOOKUP(O$1,$B$1:$G$19,19,FALSE)+1,FALSE)
-
VLOOKUP($J18,'Ergebnisse Basisszenario'!$A$1:$H$21,HLOOKUP(O$1,'Ergebnisse Basisszenario'!$B$1:$G$21,21,FALSE)+1,FALSE)
)
/
VLOOKUP($J18,'Ergebnisse Basisszenario'!$A$1:$H$21,HLOOKUP(O$1,'Ergebnisse Basisszenario'!$B$1:$G$21,21,FALSE)+1,FALSE)</f>
        <v>-0.11026743865711146</v>
      </c>
      <c r="P18" s="192">
        <f>(
VLOOKUP($J18,$A$2:$G$18,HLOOKUP(P$1,$B$1:$G$19,19,FALSE)+1,FALSE)
-
VLOOKUP($J18,'Ergebnisse Basisszenario'!$A$1:$H$21,HLOOKUP(P$1,'Ergebnisse Basisszenario'!$B$1:$G$21,21,FALSE)+1,FALSE)
)
/
VLOOKUP($J18,'Ergebnisse Basisszenario'!$A$1:$H$21,HLOOKUP(P$1,'Ergebnisse Basisszenario'!$B$1:$G$21,21,FALSE)+1,FALSE)</f>
        <v>0</v>
      </c>
      <c r="R18" s="185" t="s">
        <v>933</v>
      </c>
      <c r="S18" s="185" t="b">
        <f>IF(
IF((VLOOKUP($R18,$A$2:$G$18,HLOOKUP(S$1,$B$1:$G$19,19,FALSE)+1,FALSE)-VLOOKUP($R18,$A$2:$G$18,HLOOKUP(S$1,$B$1:$G$19,19,FALSE)+2,FALSE))&lt;0,TRUE,FALSE)
=
IF((VLOOKUP($R18,'Ergebnisse Basisszenario'!$A$2:$G$20,HLOOKUP(S$1,'Ergebnisse Basisszenario'!$B$1:$G$21,21,FALSE)+1,FALSE)-VLOOKUP($R18,'Ergebnisse Basisszenario'!$A$2:$G$20,HLOOKUP(S$1,'Ergebnisse Basisszenario'!$B$1:$G$21,21,FALSE)+2,FALSE))&lt;0,TRUE,FALSE),
TRUE,FALSE)</f>
        <v>1</v>
      </c>
      <c r="T18" s="185" t="b">
        <f>IF(
IF((VLOOKUP($R18,$A$2:$G$18,HLOOKUP(T$1,$B$1:$G$19,19,FALSE)+1,FALSE)-VLOOKUP($R18,$A$2:$G$18,HLOOKUP(T$1,$B$1:$G$19,19,FALSE)+2,FALSE))&lt;0,TRUE,FALSE)
=
IF((VLOOKUP($R18,'Ergebnisse Basisszenario'!$A$2:$G$20,HLOOKUP(T$1,'Ergebnisse Basisszenario'!$B$1:$G$21,21,FALSE)+1,FALSE)-VLOOKUP($R18,'Ergebnisse Basisszenario'!$A$2:$G$20,HLOOKUP(T$1,'Ergebnisse Basisszenario'!$B$1:$G$21,21,FALSE)+2,FALSE))&lt;0,TRUE,FALSE),
TRUE,FALSE)</f>
        <v>1</v>
      </c>
      <c r="U18" s="185" t="b">
        <f>IF(
IF((VLOOKUP($R18,$A$2:$G$18,HLOOKUP(U$1,$B$1:$G$19,19,FALSE)+1,FALSE)-VLOOKUP($R18,$A$2:$G$18,HLOOKUP(U$1,$B$1:$G$19,19,FALSE)+2,FALSE))&lt;0,TRUE,FALSE)
=
IF((VLOOKUP($R18,'Ergebnisse Basisszenario'!$A$2:$G$20,HLOOKUP(U$1,'Ergebnisse Basisszenario'!$B$1:$G$21,21,FALSE)+1,FALSE)-VLOOKUP($R18,'Ergebnisse Basisszenario'!$A$2:$G$20,HLOOKUP(U$1,'Ergebnisse Basisszenario'!$B$1:$G$21,21,FALSE)+2,FALSE))&lt;0,TRUE,FALSE),
TRUE,FALSE)</f>
        <v>1</v>
      </c>
    </row>
    <row r="19" spans="1:21" x14ac:dyDescent="0.3">
      <c r="B19" s="185">
        <v>1</v>
      </c>
      <c r="C19" s="185">
        <v>2</v>
      </c>
      <c r="D19" s="185">
        <v>3</v>
      </c>
      <c r="E19" s="185">
        <v>4</v>
      </c>
      <c r="F19" s="185">
        <v>5</v>
      </c>
      <c r="G19" s="185">
        <v>6</v>
      </c>
    </row>
    <row r="21" spans="1:21" x14ac:dyDescent="0.3">
      <c r="A21" s="186" t="s">
        <v>938</v>
      </c>
      <c r="B21" s="247" cm="1">
        <f t="array" ref="B21">SUMPRODUCT((B2:B18&lt;C2:C18)*1)</f>
        <v>0</v>
      </c>
      <c r="C21" s="247"/>
      <c r="D21" s="247" cm="1">
        <f t="array" ref="D21">SUMPRODUCT((D2:D18&lt;E2:E18)*1)</f>
        <v>5</v>
      </c>
      <c r="E21" s="247"/>
      <c r="F21" s="247" cm="1">
        <f t="array" ref="F21">SUMPRODUCT((F2:F18&lt;G2:G18)*1)</f>
        <v>0</v>
      </c>
      <c r="G21" s="247"/>
    </row>
    <row r="22" spans="1:21" x14ac:dyDescent="0.3">
      <c r="A22" s="208" t="s">
        <v>1000</v>
      </c>
    </row>
    <row r="23" spans="1:21" x14ac:dyDescent="0.3">
      <c r="A23" s="207" t="s">
        <v>903</v>
      </c>
    </row>
    <row r="24" spans="1:21" x14ac:dyDescent="0.3">
      <c r="A24" s="186"/>
      <c r="B24" s="247" t="s">
        <v>898</v>
      </c>
      <c r="C24" s="247"/>
      <c r="D24" s="247" t="s">
        <v>899</v>
      </c>
      <c r="E24" s="247"/>
      <c r="F24" s="247" t="s">
        <v>900</v>
      </c>
      <c r="G24" s="247"/>
    </row>
    <row r="25" spans="1:21" x14ac:dyDescent="0.3">
      <c r="B25" s="185" t="s">
        <v>660</v>
      </c>
      <c r="C25" s="185" t="s">
        <v>669</v>
      </c>
      <c r="D25" s="185" t="s">
        <v>660</v>
      </c>
      <c r="E25" s="185" t="s">
        <v>669</v>
      </c>
      <c r="F25" s="185" t="s">
        <v>660</v>
      </c>
      <c r="G25" s="185" t="s">
        <v>669</v>
      </c>
    </row>
    <row r="26" spans="1:21" x14ac:dyDescent="0.3">
      <c r="A26" s="185" t="s">
        <v>939</v>
      </c>
      <c r="B26" s="188">
        <f>VLOOKUP($A$23,$A$2:$G$18,2,FALSE)</f>
        <v>77.332740883979056</v>
      </c>
      <c r="C26" s="188">
        <f>VLOOKUP($A$23,$A$2:$G$18,3,FALSE)</f>
        <v>51.451796087851058</v>
      </c>
      <c r="D26" s="188">
        <f>VLOOKUP($A$23,$A$2:$G$18,4,FALSE)</f>
        <v>80.65627961600768</v>
      </c>
      <c r="E26" s="188">
        <f>VLOOKUP($A$23,$A$2:$G$18,5,FALSE)</f>
        <v>60.62251765233291</v>
      </c>
      <c r="F26" s="188">
        <f>VLOOKUP($A$23,$A$2:$G$18,6,FALSE)</f>
        <v>202.5282862131248</v>
      </c>
      <c r="G26" s="188">
        <f>VLOOKUP($A$23,$A$2:$G$18,7,FALSE)</f>
        <v>86.750703793861035</v>
      </c>
    </row>
    <row r="27" spans="1:21" x14ac:dyDescent="0.3">
      <c r="A27" s="185" t="s">
        <v>940</v>
      </c>
      <c r="B27" s="187">
        <f>VLOOKUP($A$23,'Ergebnisse Basisszenario'!$A$2:$G$20,2,FALSE)</f>
        <v>94.428134249607126</v>
      </c>
      <c r="C27" s="187">
        <f>VLOOKUP($A$23,'Ergebnisse Basisszenario'!$A$2:$G$20,3,FALSE)</f>
        <v>51.451796087851058</v>
      </c>
      <c r="D27" s="187">
        <f>VLOOKUP($A$23,'Ergebnisse Basisszenario'!$A$2:$G$20,4,FALSE)</f>
        <v>100.959898345727</v>
      </c>
      <c r="E27" s="187">
        <f>VLOOKUP($A$23,'Ergebnisse Basisszenario'!$A$2:$G$20,5,FALSE)</f>
        <v>60.622517652332903</v>
      </c>
      <c r="F27" s="187">
        <f>VLOOKUP($A$23,'Ergebnisse Basisszenario'!$A$2:$G$20,6,FALSE)</f>
        <v>218.4485935047714</v>
      </c>
      <c r="G27" s="187">
        <f>VLOOKUP($A$23,'Ergebnisse Basisszenario'!$A$2:$G$20,7,FALSE)</f>
        <v>86.750703793861035</v>
      </c>
    </row>
    <row r="28" spans="1:21" x14ac:dyDescent="0.3">
      <c r="A28" s="185" t="s">
        <v>941</v>
      </c>
      <c r="B28" s="185">
        <f>B26-B27</f>
        <v>-17.09539336562807</v>
      </c>
      <c r="C28" s="185">
        <f t="shared" ref="C28:G28" si="0">C26-C27</f>
        <v>0</v>
      </c>
      <c r="D28" s="185">
        <f t="shared" si="0"/>
        <v>-20.303618729719318</v>
      </c>
      <c r="E28" s="185">
        <f t="shared" si="0"/>
        <v>0</v>
      </c>
      <c r="F28" s="185">
        <f t="shared" si="0"/>
        <v>-15.920307291646594</v>
      </c>
      <c r="G28" s="185">
        <f t="shared" si="0"/>
        <v>0</v>
      </c>
    </row>
    <row r="29" spans="1:21" x14ac:dyDescent="0.3">
      <c r="A29" s="185" t="s">
        <v>942</v>
      </c>
      <c r="B29" s="185">
        <f>IF(B28&gt;0,B28,0)</f>
        <v>0</v>
      </c>
      <c r="C29" s="185">
        <f t="shared" ref="C29:G29" si="1">IF(C28&gt;0,C28,0)</f>
        <v>0</v>
      </c>
      <c r="D29" s="185">
        <f t="shared" si="1"/>
        <v>0</v>
      </c>
      <c r="E29" s="185">
        <f t="shared" si="1"/>
        <v>0</v>
      </c>
      <c r="F29" s="185">
        <f t="shared" si="1"/>
        <v>0</v>
      </c>
      <c r="G29" s="185">
        <f t="shared" si="1"/>
        <v>0</v>
      </c>
    </row>
    <row r="30" spans="1:21" x14ac:dyDescent="0.3">
      <c r="A30" s="185" t="s">
        <v>943</v>
      </c>
      <c r="B30" s="185">
        <f>IF(B28&lt;0,B28,0)*(-1)</f>
        <v>17.09539336562807</v>
      </c>
      <c r="C30" s="185">
        <f t="shared" ref="C30:G30" si="2">IF(C28&lt;0,C28,0)*(-1)</f>
        <v>0</v>
      </c>
      <c r="D30" s="185">
        <f t="shared" si="2"/>
        <v>20.303618729719318</v>
      </c>
      <c r="E30" s="185">
        <f t="shared" si="2"/>
        <v>0</v>
      </c>
      <c r="F30" s="185">
        <f t="shared" si="2"/>
        <v>15.920307291646594</v>
      </c>
      <c r="G30" s="185">
        <f t="shared" si="2"/>
        <v>0</v>
      </c>
    </row>
    <row r="31" spans="1:21" x14ac:dyDescent="0.3">
      <c r="A31" s="185" t="s">
        <v>944</v>
      </c>
      <c r="B31" s="185">
        <f>IF(B26&lt;B27,B26,B27)</f>
        <v>77.332740883979056</v>
      </c>
      <c r="C31" s="185">
        <f t="shared" ref="C31:G31" si="3">IF(C26&lt;C27,C26,C27)</f>
        <v>51.451796087851058</v>
      </c>
      <c r="D31" s="185">
        <f t="shared" si="3"/>
        <v>80.65627961600768</v>
      </c>
      <c r="E31" s="185">
        <f t="shared" si="3"/>
        <v>60.622517652332903</v>
      </c>
      <c r="F31" s="185">
        <f t="shared" si="3"/>
        <v>202.5282862131248</v>
      </c>
      <c r="G31" s="185">
        <f t="shared" si="3"/>
        <v>86.750703793861035</v>
      </c>
    </row>
    <row r="32" spans="1:21" x14ac:dyDescent="0.3">
      <c r="A32" s="185" t="s">
        <v>945</v>
      </c>
      <c r="B32" s="201">
        <f>B28/B27</f>
        <v>-0.18104131254398045</v>
      </c>
      <c r="C32" s="201">
        <f t="shared" ref="C32:G32" si="4">C28/C27</f>
        <v>0</v>
      </c>
      <c r="D32" s="201">
        <f t="shared" si="4"/>
        <v>-0.20110577627754361</v>
      </c>
      <c r="E32" s="201">
        <f t="shared" si="4"/>
        <v>0</v>
      </c>
      <c r="F32" s="201">
        <f t="shared" si="4"/>
        <v>-7.2878964502460203E-2</v>
      </c>
      <c r="G32" s="201">
        <f t="shared" si="4"/>
        <v>0</v>
      </c>
    </row>
    <row r="33" spans="1:7" x14ac:dyDescent="0.3">
      <c r="A33" s="185" t="s">
        <v>946</v>
      </c>
      <c r="B33" s="188">
        <f>SUM(B29:B31)+SUM(B29:B31)*0.05</f>
        <v>99.149540962087485</v>
      </c>
      <c r="C33" s="188">
        <f t="shared" ref="C33:G33" si="5">SUM(C29:C31)+SUM(C29:C31)*0.05</f>
        <v>54.024385892243615</v>
      </c>
      <c r="D33" s="188">
        <f t="shared" si="5"/>
        <v>106.00789326301334</v>
      </c>
      <c r="E33" s="188">
        <f t="shared" si="5"/>
        <v>63.653643534949545</v>
      </c>
      <c r="F33" s="188">
        <f t="shared" si="5"/>
        <v>229.37102318000996</v>
      </c>
      <c r="G33" s="188">
        <f t="shared" si="5"/>
        <v>91.088238983554092</v>
      </c>
    </row>
  </sheetData>
  <mergeCells count="6">
    <mergeCell ref="B21:C21"/>
    <mergeCell ref="D21:E21"/>
    <mergeCell ref="F21:G21"/>
    <mergeCell ref="B24:C24"/>
    <mergeCell ref="D24:E24"/>
    <mergeCell ref="F24:G24"/>
  </mergeCells>
  <conditionalFormatting sqref="B2:C2">
    <cfRule type="colorScale" priority="53">
      <colorScale>
        <cfvo type="min"/>
        <cfvo type="percentile" val="50"/>
        <cfvo type="max"/>
        <color rgb="FF63BE7B"/>
        <color rgb="FFFFEB84"/>
        <color rgb="FFF8696B"/>
      </colorScale>
    </cfRule>
  </conditionalFormatting>
  <conditionalFormatting sqref="B3:C3">
    <cfRule type="colorScale" priority="52">
      <colorScale>
        <cfvo type="min"/>
        <cfvo type="percentile" val="50"/>
        <cfvo type="max"/>
        <color rgb="FF63BE7B"/>
        <color rgb="FFFFEB84"/>
        <color rgb="FFF8696B"/>
      </colorScale>
    </cfRule>
  </conditionalFormatting>
  <conditionalFormatting sqref="B4:C4">
    <cfRule type="colorScale" priority="51">
      <colorScale>
        <cfvo type="min"/>
        <cfvo type="percentile" val="50"/>
        <cfvo type="max"/>
        <color rgb="FF63BE7B"/>
        <color rgb="FFFFEB84"/>
        <color rgb="FFF8696B"/>
      </colorScale>
    </cfRule>
  </conditionalFormatting>
  <conditionalFormatting sqref="B5:C5">
    <cfRule type="colorScale" priority="50">
      <colorScale>
        <cfvo type="min"/>
        <cfvo type="percentile" val="50"/>
        <cfvo type="max"/>
        <color rgb="FF63BE7B"/>
        <color rgb="FFFFEB84"/>
        <color rgb="FFF8696B"/>
      </colorScale>
    </cfRule>
  </conditionalFormatting>
  <conditionalFormatting sqref="B6:C6">
    <cfRule type="colorScale" priority="49">
      <colorScale>
        <cfvo type="min"/>
        <cfvo type="percentile" val="50"/>
        <cfvo type="max"/>
        <color rgb="FF63BE7B"/>
        <color rgb="FFFFEB84"/>
        <color rgb="FFF8696B"/>
      </colorScale>
    </cfRule>
  </conditionalFormatting>
  <conditionalFormatting sqref="B7:C7">
    <cfRule type="colorScale" priority="48">
      <colorScale>
        <cfvo type="min"/>
        <cfvo type="percentile" val="50"/>
        <cfvo type="max"/>
        <color rgb="FF63BE7B"/>
        <color rgb="FFFFEB84"/>
        <color rgb="FFF8696B"/>
      </colorScale>
    </cfRule>
  </conditionalFormatting>
  <conditionalFormatting sqref="B8:C8">
    <cfRule type="colorScale" priority="47">
      <colorScale>
        <cfvo type="min"/>
        <cfvo type="percentile" val="50"/>
        <cfvo type="max"/>
        <color rgb="FF63BE7B"/>
        <color rgb="FFFFEB84"/>
        <color rgb="FFF8696B"/>
      </colorScale>
    </cfRule>
  </conditionalFormatting>
  <conditionalFormatting sqref="B9:C9">
    <cfRule type="colorScale" priority="46">
      <colorScale>
        <cfvo type="min"/>
        <cfvo type="percentile" val="50"/>
        <cfvo type="max"/>
        <color rgb="FF63BE7B"/>
        <color rgb="FFFFEB84"/>
        <color rgb="FFF8696B"/>
      </colorScale>
    </cfRule>
  </conditionalFormatting>
  <conditionalFormatting sqref="B10:C10">
    <cfRule type="colorScale" priority="45">
      <colorScale>
        <cfvo type="min"/>
        <cfvo type="percentile" val="50"/>
        <cfvo type="max"/>
        <color rgb="FF63BE7B"/>
        <color rgb="FFFFEB84"/>
        <color rgb="FFF8696B"/>
      </colorScale>
    </cfRule>
  </conditionalFormatting>
  <conditionalFormatting sqref="B11:C11">
    <cfRule type="colorScale" priority="44">
      <colorScale>
        <cfvo type="min"/>
        <cfvo type="percentile" val="50"/>
        <cfvo type="max"/>
        <color rgb="FF63BE7B"/>
        <color rgb="FFFFEB84"/>
        <color rgb="FFF8696B"/>
      </colorScale>
    </cfRule>
  </conditionalFormatting>
  <conditionalFormatting sqref="B12:C12">
    <cfRule type="colorScale" priority="43">
      <colorScale>
        <cfvo type="min"/>
        <cfvo type="percentile" val="50"/>
        <cfvo type="max"/>
        <color rgb="FF63BE7B"/>
        <color rgb="FFFFEB84"/>
        <color rgb="FFF8696B"/>
      </colorScale>
    </cfRule>
  </conditionalFormatting>
  <conditionalFormatting sqref="B13:C13">
    <cfRule type="colorScale" priority="42">
      <colorScale>
        <cfvo type="min"/>
        <cfvo type="percentile" val="50"/>
        <cfvo type="max"/>
        <color rgb="FF63BE7B"/>
        <color rgb="FFFFEB84"/>
        <color rgb="FFF8696B"/>
      </colorScale>
    </cfRule>
  </conditionalFormatting>
  <conditionalFormatting sqref="B14:C14">
    <cfRule type="colorScale" priority="41">
      <colorScale>
        <cfvo type="min"/>
        <cfvo type="percentile" val="50"/>
        <cfvo type="max"/>
        <color rgb="FF63BE7B"/>
        <color rgb="FFFFEB84"/>
        <color rgb="FFF8696B"/>
      </colorScale>
    </cfRule>
  </conditionalFormatting>
  <conditionalFormatting sqref="B15:C15">
    <cfRule type="colorScale" priority="40">
      <colorScale>
        <cfvo type="min"/>
        <cfvo type="percentile" val="50"/>
        <cfvo type="max"/>
        <color rgb="FF63BE7B"/>
        <color rgb="FFFFEB84"/>
        <color rgb="FFF8696B"/>
      </colorScale>
    </cfRule>
  </conditionalFormatting>
  <conditionalFormatting sqref="B16:C16">
    <cfRule type="colorScale" priority="39">
      <colorScale>
        <cfvo type="min"/>
        <cfvo type="percentile" val="50"/>
        <cfvo type="max"/>
        <color rgb="FF63BE7B"/>
        <color rgb="FFFFEB84"/>
        <color rgb="FFF8696B"/>
      </colorScale>
    </cfRule>
  </conditionalFormatting>
  <conditionalFormatting sqref="B17:C17">
    <cfRule type="colorScale" priority="38">
      <colorScale>
        <cfvo type="min"/>
        <cfvo type="percentile" val="50"/>
        <cfvo type="max"/>
        <color rgb="FF63BE7B"/>
        <color rgb="FFFFEB84"/>
        <color rgb="FFF8696B"/>
      </colorScale>
    </cfRule>
  </conditionalFormatting>
  <conditionalFormatting sqref="B18:C18">
    <cfRule type="colorScale" priority="37">
      <colorScale>
        <cfvo type="min"/>
        <cfvo type="percentile" val="50"/>
        <cfvo type="max"/>
        <color rgb="FF63BE7B"/>
        <color rgb="FFFFEB84"/>
        <color rgb="FFF8696B"/>
      </colorScale>
    </cfRule>
  </conditionalFormatting>
  <conditionalFormatting sqref="D2:E2">
    <cfRule type="colorScale" priority="36">
      <colorScale>
        <cfvo type="min"/>
        <cfvo type="percentile" val="50"/>
        <cfvo type="max"/>
        <color rgb="FF63BE7B"/>
        <color rgb="FFFFEB84"/>
        <color rgb="FFF8696B"/>
      </colorScale>
    </cfRule>
  </conditionalFormatting>
  <conditionalFormatting sqref="D3:E3">
    <cfRule type="colorScale" priority="35">
      <colorScale>
        <cfvo type="min"/>
        <cfvo type="percentile" val="50"/>
        <cfvo type="max"/>
        <color rgb="FF63BE7B"/>
        <color rgb="FFFFEB84"/>
        <color rgb="FFF8696B"/>
      </colorScale>
    </cfRule>
  </conditionalFormatting>
  <conditionalFormatting sqref="D4:E4">
    <cfRule type="colorScale" priority="34">
      <colorScale>
        <cfvo type="min"/>
        <cfvo type="percentile" val="50"/>
        <cfvo type="max"/>
        <color rgb="FF63BE7B"/>
        <color rgb="FFFFEB84"/>
        <color rgb="FFF8696B"/>
      </colorScale>
    </cfRule>
  </conditionalFormatting>
  <conditionalFormatting sqref="D5:E5">
    <cfRule type="colorScale" priority="33">
      <colorScale>
        <cfvo type="min"/>
        <cfvo type="percentile" val="50"/>
        <cfvo type="max"/>
        <color rgb="FF63BE7B"/>
        <color rgb="FFFFEB84"/>
        <color rgb="FFF8696B"/>
      </colorScale>
    </cfRule>
  </conditionalFormatting>
  <conditionalFormatting sqref="D6:E6">
    <cfRule type="colorScale" priority="32">
      <colorScale>
        <cfvo type="min"/>
        <cfvo type="percentile" val="50"/>
        <cfvo type="max"/>
        <color rgb="FF63BE7B"/>
        <color rgb="FFFFEB84"/>
        <color rgb="FFF8696B"/>
      </colorScale>
    </cfRule>
  </conditionalFormatting>
  <conditionalFormatting sqref="D7:E7">
    <cfRule type="colorScale" priority="31">
      <colorScale>
        <cfvo type="min"/>
        <cfvo type="percentile" val="50"/>
        <cfvo type="max"/>
        <color rgb="FF63BE7B"/>
        <color rgb="FFFFEB84"/>
        <color rgb="FFF8696B"/>
      </colorScale>
    </cfRule>
  </conditionalFormatting>
  <conditionalFormatting sqref="D8:E8">
    <cfRule type="colorScale" priority="30">
      <colorScale>
        <cfvo type="min"/>
        <cfvo type="percentile" val="50"/>
        <cfvo type="max"/>
        <color rgb="FF63BE7B"/>
        <color rgb="FFFFEB84"/>
        <color rgb="FFF8696B"/>
      </colorScale>
    </cfRule>
  </conditionalFormatting>
  <conditionalFormatting sqref="D9:E9">
    <cfRule type="colorScale" priority="29">
      <colorScale>
        <cfvo type="min"/>
        <cfvo type="percentile" val="50"/>
        <cfvo type="max"/>
        <color rgb="FF63BE7B"/>
        <color rgb="FFFFEB84"/>
        <color rgb="FFF8696B"/>
      </colorScale>
    </cfRule>
  </conditionalFormatting>
  <conditionalFormatting sqref="D10:E10">
    <cfRule type="colorScale" priority="28">
      <colorScale>
        <cfvo type="min"/>
        <cfvo type="percentile" val="50"/>
        <cfvo type="max"/>
        <color rgb="FF63BE7B"/>
        <color rgb="FFFFEB84"/>
        <color rgb="FFF8696B"/>
      </colorScale>
    </cfRule>
  </conditionalFormatting>
  <conditionalFormatting sqref="D11:E11">
    <cfRule type="colorScale" priority="27">
      <colorScale>
        <cfvo type="min"/>
        <cfvo type="percentile" val="50"/>
        <cfvo type="max"/>
        <color rgb="FF63BE7B"/>
        <color rgb="FFFFEB84"/>
        <color rgb="FFF8696B"/>
      </colorScale>
    </cfRule>
  </conditionalFormatting>
  <conditionalFormatting sqref="D12:E12">
    <cfRule type="colorScale" priority="26">
      <colorScale>
        <cfvo type="min"/>
        <cfvo type="percentile" val="50"/>
        <cfvo type="max"/>
        <color rgb="FF63BE7B"/>
        <color rgb="FFFFEB84"/>
        <color rgb="FFF8696B"/>
      </colorScale>
    </cfRule>
  </conditionalFormatting>
  <conditionalFormatting sqref="D13:E13">
    <cfRule type="colorScale" priority="25">
      <colorScale>
        <cfvo type="min"/>
        <cfvo type="percentile" val="50"/>
        <cfvo type="max"/>
        <color rgb="FF63BE7B"/>
        <color rgb="FFFFEB84"/>
        <color rgb="FFF8696B"/>
      </colorScale>
    </cfRule>
  </conditionalFormatting>
  <conditionalFormatting sqref="D14:E14">
    <cfRule type="colorScale" priority="24">
      <colorScale>
        <cfvo type="min"/>
        <cfvo type="percentile" val="50"/>
        <cfvo type="max"/>
        <color rgb="FF63BE7B"/>
        <color rgb="FFFFEB84"/>
        <color rgb="FFF8696B"/>
      </colorScale>
    </cfRule>
  </conditionalFormatting>
  <conditionalFormatting sqref="D15:E15">
    <cfRule type="colorScale" priority="23">
      <colorScale>
        <cfvo type="min"/>
        <cfvo type="percentile" val="50"/>
        <cfvo type="max"/>
        <color rgb="FF63BE7B"/>
        <color rgb="FFFFEB84"/>
        <color rgb="FFF8696B"/>
      </colorScale>
    </cfRule>
  </conditionalFormatting>
  <conditionalFormatting sqref="D16:E16">
    <cfRule type="colorScale" priority="22">
      <colorScale>
        <cfvo type="min"/>
        <cfvo type="percentile" val="50"/>
        <cfvo type="max"/>
        <color rgb="FF63BE7B"/>
        <color rgb="FFFFEB84"/>
        <color rgb="FFF8696B"/>
      </colorScale>
    </cfRule>
  </conditionalFormatting>
  <conditionalFormatting sqref="D17:E17">
    <cfRule type="colorScale" priority="21">
      <colorScale>
        <cfvo type="min"/>
        <cfvo type="percentile" val="50"/>
        <cfvo type="max"/>
        <color rgb="FF63BE7B"/>
        <color rgb="FFFFEB84"/>
        <color rgb="FFF8696B"/>
      </colorScale>
    </cfRule>
  </conditionalFormatting>
  <conditionalFormatting sqref="D18:E18">
    <cfRule type="colorScale" priority="20">
      <colorScale>
        <cfvo type="min"/>
        <cfvo type="percentile" val="50"/>
        <cfvo type="max"/>
        <color rgb="FF63BE7B"/>
        <color rgb="FFFFEB84"/>
        <color rgb="FFF8696B"/>
      </colorScale>
    </cfRule>
  </conditionalFormatting>
  <conditionalFormatting sqref="F2:G2">
    <cfRule type="colorScale" priority="19">
      <colorScale>
        <cfvo type="min"/>
        <cfvo type="percentile" val="50"/>
        <cfvo type="max"/>
        <color rgb="FF63BE7B"/>
        <color rgb="FFFFEB84"/>
        <color rgb="FFF8696B"/>
      </colorScale>
    </cfRule>
  </conditionalFormatting>
  <conditionalFormatting sqref="F3:G3">
    <cfRule type="colorScale" priority="18">
      <colorScale>
        <cfvo type="min"/>
        <cfvo type="percentile" val="50"/>
        <cfvo type="max"/>
        <color rgb="FF63BE7B"/>
        <color rgb="FFFFEB84"/>
        <color rgb="FFF8696B"/>
      </colorScale>
    </cfRule>
  </conditionalFormatting>
  <conditionalFormatting sqref="F4:G4">
    <cfRule type="colorScale" priority="17">
      <colorScale>
        <cfvo type="min"/>
        <cfvo type="percentile" val="50"/>
        <cfvo type="max"/>
        <color rgb="FF63BE7B"/>
        <color rgb="FFFFEB84"/>
        <color rgb="FFF8696B"/>
      </colorScale>
    </cfRule>
  </conditionalFormatting>
  <conditionalFormatting sqref="F5:G5">
    <cfRule type="colorScale" priority="16">
      <colorScale>
        <cfvo type="min"/>
        <cfvo type="percentile" val="50"/>
        <cfvo type="max"/>
        <color rgb="FF63BE7B"/>
        <color rgb="FFFFEB84"/>
        <color rgb="FFF8696B"/>
      </colorScale>
    </cfRule>
  </conditionalFormatting>
  <conditionalFormatting sqref="F6:G6">
    <cfRule type="colorScale" priority="15">
      <colorScale>
        <cfvo type="min"/>
        <cfvo type="percentile" val="50"/>
        <cfvo type="max"/>
        <color rgb="FF63BE7B"/>
        <color rgb="FFFFEB84"/>
        <color rgb="FFF8696B"/>
      </colorScale>
    </cfRule>
  </conditionalFormatting>
  <conditionalFormatting sqref="F7:G7">
    <cfRule type="colorScale" priority="14">
      <colorScale>
        <cfvo type="min"/>
        <cfvo type="percentile" val="50"/>
        <cfvo type="max"/>
        <color rgb="FF63BE7B"/>
        <color rgb="FFFFEB84"/>
        <color rgb="FFF8696B"/>
      </colorScale>
    </cfRule>
  </conditionalFormatting>
  <conditionalFormatting sqref="F8:G8">
    <cfRule type="colorScale" priority="13">
      <colorScale>
        <cfvo type="min"/>
        <cfvo type="percentile" val="50"/>
        <cfvo type="max"/>
        <color rgb="FF63BE7B"/>
        <color rgb="FFFFEB84"/>
        <color rgb="FFF8696B"/>
      </colorScale>
    </cfRule>
  </conditionalFormatting>
  <conditionalFormatting sqref="F9:G9">
    <cfRule type="colorScale" priority="12">
      <colorScale>
        <cfvo type="min"/>
        <cfvo type="percentile" val="50"/>
        <cfvo type="max"/>
        <color rgb="FF63BE7B"/>
        <color rgb="FFFFEB84"/>
        <color rgb="FFF8696B"/>
      </colorScale>
    </cfRule>
  </conditionalFormatting>
  <conditionalFormatting sqref="F10:G10">
    <cfRule type="colorScale" priority="11">
      <colorScale>
        <cfvo type="min"/>
        <cfvo type="percentile" val="50"/>
        <cfvo type="max"/>
        <color rgb="FF63BE7B"/>
        <color rgb="FFFFEB84"/>
        <color rgb="FFF8696B"/>
      </colorScale>
    </cfRule>
  </conditionalFormatting>
  <conditionalFormatting sqref="F11:G11">
    <cfRule type="colorScale" priority="10">
      <colorScale>
        <cfvo type="min"/>
        <cfvo type="percentile" val="50"/>
        <cfvo type="max"/>
        <color rgb="FF63BE7B"/>
        <color rgb="FFFFEB84"/>
        <color rgb="FFF8696B"/>
      </colorScale>
    </cfRule>
  </conditionalFormatting>
  <conditionalFormatting sqref="F12:G12">
    <cfRule type="colorScale" priority="9">
      <colorScale>
        <cfvo type="min"/>
        <cfvo type="percentile" val="50"/>
        <cfvo type="max"/>
        <color rgb="FF63BE7B"/>
        <color rgb="FFFFEB84"/>
        <color rgb="FFF8696B"/>
      </colorScale>
    </cfRule>
  </conditionalFormatting>
  <conditionalFormatting sqref="F13:G13">
    <cfRule type="colorScale" priority="8">
      <colorScale>
        <cfvo type="min"/>
        <cfvo type="percentile" val="50"/>
        <cfvo type="max"/>
        <color rgb="FF63BE7B"/>
        <color rgb="FFFFEB84"/>
        <color rgb="FFF8696B"/>
      </colorScale>
    </cfRule>
  </conditionalFormatting>
  <conditionalFormatting sqref="F14:G14">
    <cfRule type="colorScale" priority="7">
      <colorScale>
        <cfvo type="min"/>
        <cfvo type="percentile" val="50"/>
        <cfvo type="max"/>
        <color rgb="FF63BE7B"/>
        <color rgb="FFFFEB84"/>
        <color rgb="FFF8696B"/>
      </colorScale>
    </cfRule>
  </conditionalFormatting>
  <conditionalFormatting sqref="F15:G15">
    <cfRule type="colorScale" priority="6">
      <colorScale>
        <cfvo type="min"/>
        <cfvo type="percentile" val="50"/>
        <cfvo type="max"/>
        <color rgb="FF63BE7B"/>
        <color rgb="FFFFEB84"/>
        <color rgb="FFF8696B"/>
      </colorScale>
    </cfRule>
  </conditionalFormatting>
  <conditionalFormatting sqref="F16:G16">
    <cfRule type="colorScale" priority="5">
      <colorScale>
        <cfvo type="min"/>
        <cfvo type="percentile" val="50"/>
        <cfvo type="max"/>
        <color rgb="FF63BE7B"/>
        <color rgb="FFFFEB84"/>
        <color rgb="FFF8696B"/>
      </colorScale>
    </cfRule>
  </conditionalFormatting>
  <conditionalFormatting sqref="F17:G17">
    <cfRule type="colorScale" priority="4">
      <colorScale>
        <cfvo type="min"/>
        <cfvo type="percentile" val="50"/>
        <cfvo type="max"/>
        <color rgb="FF63BE7B"/>
        <color rgb="FFFFEB84"/>
        <color rgb="FFF8696B"/>
      </colorScale>
    </cfRule>
  </conditionalFormatting>
  <conditionalFormatting sqref="F18:G18">
    <cfRule type="colorScale" priority="3">
      <colorScale>
        <cfvo type="min"/>
        <cfvo type="percentile" val="50"/>
        <cfvo type="max"/>
        <color rgb="FF63BE7B"/>
        <color rgb="FFFFEB84"/>
        <color rgb="FFF8696B"/>
      </colorScale>
    </cfRule>
  </conditionalFormatting>
  <conditionalFormatting sqref="K2:P18">
    <cfRule type="cellIs" dxfId="11" priority="2" operator="notBetween">
      <formula>0.1</formula>
      <formula>-0.1</formula>
    </cfRule>
  </conditionalFormatting>
  <conditionalFormatting sqref="S2:U18">
    <cfRule type="cellIs" dxfId="10" priority="1" operator="notEqual">
      <formula>TRUE</formula>
    </cfRule>
  </conditionalFormatting>
  <dataValidations count="1">
    <dataValidation type="list" allowBlank="1" showInputMessage="1" showErrorMessage="1" sqref="A23" xr:uid="{990D1A5C-72BC-4E3A-BF9A-9537C73DE8B2}">
      <formula1>$A$2:$A$18</formula1>
    </dataValidation>
  </dataValidations>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CF08A-413E-4D09-9814-BDD2A60D247D}">
  <dimension ref="A1:L33"/>
  <sheetViews>
    <sheetView topLeftCell="A16" workbookViewId="0">
      <selection activeCell="A22" sqref="A22"/>
    </sheetView>
  </sheetViews>
  <sheetFormatPr baseColWidth="10" defaultColWidth="11.44140625" defaultRowHeight="14.4" x14ac:dyDescent="0.3"/>
  <cols>
    <col min="1" max="1" width="92.88671875" style="185" bestFit="1" customWidth="1"/>
    <col min="2" max="16384" width="11.44140625" style="185"/>
  </cols>
  <sheetData>
    <row r="1" spans="1:12" x14ac:dyDescent="0.3">
      <c r="A1" s="185" t="s">
        <v>890</v>
      </c>
      <c r="B1" s="185" t="s">
        <v>891</v>
      </c>
      <c r="C1" s="185" t="s">
        <v>892</v>
      </c>
      <c r="D1" s="185" t="s">
        <v>897</v>
      </c>
      <c r="H1" s="185" t="s">
        <v>891</v>
      </c>
      <c r="I1" s="185" t="s">
        <v>892</v>
      </c>
      <c r="L1" s="185" t="s">
        <v>891</v>
      </c>
    </row>
    <row r="2" spans="1:12" x14ac:dyDescent="0.3">
      <c r="A2" s="185" t="s">
        <v>901</v>
      </c>
      <c r="B2" s="191">
        <v>1.0983294112491639</v>
      </c>
      <c r="C2" s="191">
        <v>0.12740560935773679</v>
      </c>
      <c r="D2" s="185" t="s">
        <v>902</v>
      </c>
      <c r="G2" s="185" t="s">
        <v>901</v>
      </c>
      <c r="H2" s="192">
        <f>(
VLOOKUP($G2,$A$2:$E$18,HLOOKUP(H$1,$B$1:$E$19,19,FALSE)+1,FALSE)
-
VLOOKUP($G2,'Ergebnisse Basisszenario'!$A$1:$H$21,HLOOKUP(H$1,'Ergebnisse Basisszenario'!$B$1:$G$21,21,FALSE)+1,FALSE)
)
/
VLOOKUP($G2,'Ergebnisse Basisszenario'!$A$1:$H$21,HLOOKUP(H$1,'Ergebnisse Basisszenario'!$B$1:$G$21,21,FALSE)+1,FALSE)</f>
        <v>1.9407017708346161</v>
      </c>
      <c r="I2" s="192">
        <f>(
VLOOKUP($G2,$A$2:$E$18,HLOOKUP(I$1,$B$1:$E$19,19,FALSE)+1,FALSE)
-
VLOOKUP($G2,'Ergebnisse Basisszenario'!$A$1:$H$21,HLOOKUP(I$1,'Ergebnisse Basisszenario'!$B$1:$G$21,21,FALSE)+1,FALSE)
)
/
VLOOKUP($G2,'Ergebnisse Basisszenario'!$A$1:$H$21,HLOOKUP(I$1,'Ergebnisse Basisszenario'!$B$1:$G$21,21,FALSE)+1,FALSE)</f>
        <v>0</v>
      </c>
      <c r="K2" s="185" t="s">
        <v>901</v>
      </c>
      <c r="L2" s="185" t="b">
        <f>IF(
IF((VLOOKUP($K2,$A$2:$E$18,HLOOKUP(L$1,$B$1:$E$19,19,FALSE)+1,FALSE)-VLOOKUP($K2,$A$2:$E$18,HLOOKUP(L$1,$B$1:$E$19,19,FALSE)+2,FALSE))&lt;0,TRUE,FALSE)
=
IF((VLOOKUP($K2,'Ergebnisse Basisszenario'!$A$2:$G$20,HLOOKUP(L$1,'Ergebnisse Basisszenario'!$B$1:$G$21,21,FALSE)+1,FALSE)-VLOOKUP($K2,'Ergebnisse Basisszenario'!$A$2:$G$20,HLOOKUP(L$1,'Ergebnisse Basisszenario'!$B$1:$G$21,21,FALSE)+2,FALSE))&lt;0,TRUE,FALSE),
TRUE,FALSE)</f>
        <v>1</v>
      </c>
    </row>
    <row r="3" spans="1:12" x14ac:dyDescent="0.3">
      <c r="A3" s="185" t="s">
        <v>903</v>
      </c>
      <c r="B3" s="191">
        <v>186.72151727822941</v>
      </c>
      <c r="C3" s="191">
        <v>51.451796087851058</v>
      </c>
      <c r="D3" s="185" t="s">
        <v>904</v>
      </c>
      <c r="G3" s="185" t="s">
        <v>903</v>
      </c>
      <c r="H3" s="192">
        <f>(
VLOOKUP($G3,$A$2:$E$18,HLOOKUP(H$1,$B$1:$E$19,19,FALSE)+1,FALSE)
-
VLOOKUP($G3,'Ergebnisse Basisszenario'!$A$1:$H$21,HLOOKUP(H$1,'Ergebnisse Basisszenario'!$B$1:$G$21,21,FALSE)+1,FALSE)
)
/
VLOOKUP($G3,'Ergebnisse Basisszenario'!$A$1:$H$21,HLOOKUP(H$1,'Ergebnisse Basisszenario'!$B$1:$G$21,21,FALSE)+1,FALSE)</f>
        <v>0.97739284760893475</v>
      </c>
      <c r="I3" s="192">
        <f>(
VLOOKUP($G3,$A$2:$E$18,HLOOKUP(I$1,$B$1:$E$19,19,FALSE)+1,FALSE)
-
VLOOKUP($G3,'Ergebnisse Basisszenario'!$A$1:$H$21,HLOOKUP(I$1,'Ergebnisse Basisszenario'!$B$1:$G$21,21,FALSE)+1,FALSE)
)
/
VLOOKUP($G3,'Ergebnisse Basisszenario'!$A$1:$H$21,HLOOKUP(I$1,'Ergebnisse Basisszenario'!$B$1:$G$21,21,FALSE)+1,FALSE)</f>
        <v>0</v>
      </c>
      <c r="K3" s="185" t="s">
        <v>903</v>
      </c>
      <c r="L3" s="185" t="b">
        <f>IF(
IF((VLOOKUP($K3,$A$2:$E$18,HLOOKUP(L$1,$B$1:$E$19,19,FALSE)+1,FALSE)-VLOOKUP($K3,$A$2:$E$18,HLOOKUP(L$1,$B$1:$E$19,19,FALSE)+2,FALSE))&lt;0,TRUE,FALSE)
=
IF((VLOOKUP($K3,'Ergebnisse Basisszenario'!$A$2:$G$20,HLOOKUP(L$1,'Ergebnisse Basisszenario'!$B$1:$G$21,21,FALSE)+1,FALSE)-VLOOKUP($K3,'Ergebnisse Basisszenario'!$A$2:$G$20,HLOOKUP(L$1,'Ergebnisse Basisszenario'!$B$1:$G$21,21,FALSE)+2,FALSE))&lt;0,TRUE,FALSE),
TRUE,FALSE)</f>
        <v>1</v>
      </c>
    </row>
    <row r="4" spans="1:12" x14ac:dyDescent="0.3">
      <c r="A4" s="185" t="s">
        <v>906</v>
      </c>
      <c r="B4" s="191">
        <v>184.71659673482841</v>
      </c>
      <c r="C4" s="191">
        <v>51.104833581974283</v>
      </c>
      <c r="D4" s="185" t="s">
        <v>904</v>
      </c>
      <c r="G4" s="185" t="s">
        <v>906</v>
      </c>
      <c r="H4" s="192">
        <f>(
VLOOKUP($G4,$A$2:$E$18,HLOOKUP(H$1,$B$1:$E$19,19,FALSE)+1,FALSE)
-
VLOOKUP($G4,'Ergebnisse Basisszenario'!$A$1:$H$21,HLOOKUP(H$1,'Ergebnisse Basisszenario'!$B$1:$G$21,21,FALSE)+1,FALSE)
)
/
VLOOKUP($G4,'Ergebnisse Basisszenario'!$A$1:$H$21,HLOOKUP(H$1,'Ergebnisse Basisszenario'!$B$1:$G$21,21,FALSE)+1,FALSE)</f>
        <v>1.0103378928759414</v>
      </c>
      <c r="I4" s="192">
        <f>(
VLOOKUP($G4,$A$2:$E$18,HLOOKUP(I$1,$B$1:$E$19,19,FALSE)+1,FALSE)
-
VLOOKUP($G4,'Ergebnisse Basisszenario'!$A$1:$H$21,HLOOKUP(I$1,'Ergebnisse Basisszenario'!$B$1:$G$21,21,FALSE)+1,FALSE)
)
/
VLOOKUP($G4,'Ergebnisse Basisszenario'!$A$1:$H$21,HLOOKUP(I$1,'Ergebnisse Basisszenario'!$B$1:$G$21,21,FALSE)+1,FALSE)</f>
        <v>0</v>
      </c>
      <c r="K4" s="185" t="s">
        <v>906</v>
      </c>
      <c r="L4" s="185" t="b">
        <f>IF(
IF((VLOOKUP($K4,$A$2:$E$18,HLOOKUP(L$1,$B$1:$E$19,19,FALSE)+1,FALSE)-VLOOKUP($K4,$A$2:$E$18,HLOOKUP(L$1,$B$1:$E$19,19,FALSE)+2,FALSE))&lt;0,TRUE,FALSE)
=
IF((VLOOKUP($K4,'Ergebnisse Basisszenario'!$A$2:$G$20,HLOOKUP(L$1,'Ergebnisse Basisszenario'!$B$1:$G$21,21,FALSE)+1,FALSE)-VLOOKUP($K4,'Ergebnisse Basisszenario'!$A$2:$G$20,HLOOKUP(L$1,'Ergebnisse Basisszenario'!$B$1:$G$21,21,FALSE)+2,FALSE))&lt;0,TRUE,FALSE),
TRUE,FALSE)</f>
        <v>1</v>
      </c>
    </row>
    <row r="5" spans="1:12" x14ac:dyDescent="0.3">
      <c r="A5" s="185" t="s">
        <v>908</v>
      </c>
      <c r="B5" s="191">
        <v>5208.3625785359181</v>
      </c>
      <c r="C5" s="191">
        <v>527.50758404574447</v>
      </c>
      <c r="D5" s="185" t="s">
        <v>909</v>
      </c>
      <c r="G5" s="185" t="s">
        <v>908</v>
      </c>
      <c r="H5" s="192">
        <f>(
VLOOKUP($G5,$A$2:$E$18,HLOOKUP(H$1,$B$1:$E$19,19,FALSE)+1,FALSE)
-
VLOOKUP($G5,'Ergebnisse Basisszenario'!$A$1:$H$21,HLOOKUP(H$1,'Ergebnisse Basisszenario'!$B$1:$G$21,21,FALSE)+1,FALSE)
)
/
VLOOKUP($G5,'Ergebnisse Basisszenario'!$A$1:$H$21,HLOOKUP(H$1,'Ergebnisse Basisszenario'!$B$1:$G$21,21,FALSE)+1,FALSE)</f>
        <v>0.46351512313167875</v>
      </c>
      <c r="I5" s="192">
        <f>(
VLOOKUP($G5,$A$2:$E$18,HLOOKUP(I$1,$B$1:$E$19,19,FALSE)+1,FALSE)
-
VLOOKUP($G5,'Ergebnisse Basisszenario'!$A$1:$H$21,HLOOKUP(I$1,'Ergebnisse Basisszenario'!$B$1:$G$21,21,FALSE)+1,FALSE)
)
/
VLOOKUP($G5,'Ergebnisse Basisszenario'!$A$1:$H$21,HLOOKUP(I$1,'Ergebnisse Basisszenario'!$B$1:$G$21,21,FALSE)+1,FALSE)</f>
        <v>0</v>
      </c>
      <c r="K5" s="185" t="s">
        <v>908</v>
      </c>
      <c r="L5" s="185" t="b">
        <f>IF(
IF((VLOOKUP($K5,$A$2:$E$18,HLOOKUP(L$1,$B$1:$E$19,19,FALSE)+1,FALSE)-VLOOKUP($K5,$A$2:$E$18,HLOOKUP(L$1,$B$1:$E$19,19,FALSE)+2,FALSE))&lt;0,TRUE,FALSE)
=
IF((VLOOKUP($K5,'Ergebnisse Basisszenario'!$A$2:$G$20,HLOOKUP(L$1,'Ergebnisse Basisszenario'!$B$1:$G$21,21,FALSE)+1,FALSE)-VLOOKUP($K5,'Ergebnisse Basisszenario'!$A$2:$G$20,HLOOKUP(L$1,'Ergebnisse Basisszenario'!$B$1:$G$21,21,FALSE)+2,FALSE))&lt;0,TRUE,FALSE),
TRUE,FALSE)</f>
        <v>1</v>
      </c>
    </row>
    <row r="6" spans="1:12" x14ac:dyDescent="0.3">
      <c r="A6" s="185" t="s">
        <v>910</v>
      </c>
      <c r="B6" s="191">
        <v>1993.8585756556679</v>
      </c>
      <c r="C6" s="191">
        <v>796.43775995896794</v>
      </c>
      <c r="D6" s="185" t="s">
        <v>911</v>
      </c>
      <c r="G6" s="185" t="s">
        <v>910</v>
      </c>
      <c r="H6" s="192">
        <f>(
VLOOKUP($G6,$A$2:$E$18,HLOOKUP(H$1,$B$1:$E$19,19,FALSE)+1,FALSE)
-
VLOOKUP($G6,'Ergebnisse Basisszenario'!$A$1:$H$21,HLOOKUP(H$1,'Ergebnisse Basisszenario'!$B$1:$G$21,21,FALSE)+1,FALSE)
)
/
VLOOKUP($G6,'Ergebnisse Basisszenario'!$A$1:$H$21,HLOOKUP(H$1,'Ergebnisse Basisszenario'!$B$1:$G$21,21,FALSE)+1,FALSE)</f>
        <v>0.68263747653963525</v>
      </c>
      <c r="I6" s="192">
        <f>(
VLOOKUP($G6,$A$2:$E$18,HLOOKUP(I$1,$B$1:$E$19,19,FALSE)+1,FALSE)
-
VLOOKUP($G6,'Ergebnisse Basisszenario'!$A$1:$H$21,HLOOKUP(I$1,'Ergebnisse Basisszenario'!$B$1:$G$21,21,FALSE)+1,FALSE)
)
/
VLOOKUP($G6,'Ergebnisse Basisszenario'!$A$1:$H$21,HLOOKUP(I$1,'Ergebnisse Basisszenario'!$B$1:$G$21,21,FALSE)+1,FALSE)</f>
        <v>0</v>
      </c>
      <c r="K6" s="185" t="s">
        <v>910</v>
      </c>
      <c r="L6" s="185" t="b">
        <f>IF(
IF((VLOOKUP($K6,$A$2:$E$18,HLOOKUP(L$1,$B$1:$E$19,19,FALSE)+1,FALSE)-VLOOKUP($K6,$A$2:$E$18,HLOOKUP(L$1,$B$1:$E$19,19,FALSE)+2,FALSE))&lt;0,TRUE,FALSE)
=
IF((VLOOKUP($K6,'Ergebnisse Basisszenario'!$A$2:$G$20,HLOOKUP(L$1,'Ergebnisse Basisszenario'!$B$1:$G$21,21,FALSE)+1,FALSE)-VLOOKUP($K6,'Ergebnisse Basisszenario'!$A$2:$G$20,HLOOKUP(L$1,'Ergebnisse Basisszenario'!$B$1:$G$21,21,FALSE)+2,FALSE))&lt;0,TRUE,FALSE),
TRUE,FALSE)</f>
        <v>1</v>
      </c>
    </row>
    <row r="7" spans="1:12" x14ac:dyDescent="0.3">
      <c r="A7" s="185" t="s">
        <v>912</v>
      </c>
      <c r="B7" s="191">
        <v>6.8867202189265467E-2</v>
      </c>
      <c r="C7" s="191">
        <v>3.3263429173257912E-2</v>
      </c>
      <c r="D7" s="185" t="s">
        <v>913</v>
      </c>
      <c r="G7" s="185" t="s">
        <v>912</v>
      </c>
      <c r="H7" s="192">
        <f>(
VLOOKUP($G7,$A$2:$E$18,HLOOKUP(H$1,$B$1:$E$19,19,FALSE)+1,FALSE)
-
VLOOKUP($G7,'Ergebnisse Basisszenario'!$A$1:$H$21,HLOOKUP(H$1,'Ergebnisse Basisszenario'!$B$1:$G$21,21,FALSE)+1,FALSE)
)
/
VLOOKUP($G7,'Ergebnisse Basisszenario'!$A$1:$H$21,HLOOKUP(H$1,'Ergebnisse Basisszenario'!$B$1:$G$21,21,FALSE)+1,FALSE)</f>
        <v>0.53921828710814812</v>
      </c>
      <c r="I7" s="192">
        <f>(
VLOOKUP($G7,$A$2:$E$18,HLOOKUP(I$1,$B$1:$E$19,19,FALSE)+1,FALSE)
-
VLOOKUP($G7,'Ergebnisse Basisszenario'!$A$1:$H$21,HLOOKUP(I$1,'Ergebnisse Basisszenario'!$B$1:$G$21,21,FALSE)+1,FALSE)
)
/
VLOOKUP($G7,'Ergebnisse Basisszenario'!$A$1:$H$21,HLOOKUP(I$1,'Ergebnisse Basisszenario'!$B$1:$G$21,21,FALSE)+1,FALSE)</f>
        <v>0</v>
      </c>
      <c r="K7" s="185" t="s">
        <v>912</v>
      </c>
      <c r="L7" s="185" t="b">
        <f>IF(
IF((VLOOKUP($K7,$A$2:$E$18,HLOOKUP(L$1,$B$1:$E$19,19,FALSE)+1,FALSE)-VLOOKUP($K7,$A$2:$E$18,HLOOKUP(L$1,$B$1:$E$19,19,FALSE)+2,FALSE))&lt;0,TRUE,FALSE)
=
IF((VLOOKUP($K7,'Ergebnisse Basisszenario'!$A$2:$G$20,HLOOKUP(L$1,'Ergebnisse Basisszenario'!$B$1:$G$21,21,FALSE)+1,FALSE)-VLOOKUP($K7,'Ergebnisse Basisszenario'!$A$2:$G$20,HLOOKUP(L$1,'Ergebnisse Basisszenario'!$B$1:$G$21,21,FALSE)+2,FALSE))&lt;0,TRUE,FALSE),
TRUE,FALSE)</f>
        <v>1</v>
      </c>
    </row>
    <row r="8" spans="1:12" x14ac:dyDescent="0.3">
      <c r="A8" s="185" t="s">
        <v>914</v>
      </c>
      <c r="B8" s="191">
        <v>0.1941163784065548</v>
      </c>
      <c r="C8" s="191">
        <v>3.1714480290257432E-2</v>
      </c>
      <c r="D8" s="185" t="s">
        <v>915</v>
      </c>
      <c r="G8" s="185" t="s">
        <v>914</v>
      </c>
      <c r="H8" s="192">
        <f>(
VLOOKUP($G8,$A$2:$E$18,HLOOKUP(H$1,$B$1:$E$19,19,FALSE)+1,FALSE)
-
VLOOKUP($G8,'Ergebnisse Basisszenario'!$A$1:$H$21,HLOOKUP(H$1,'Ergebnisse Basisszenario'!$B$1:$G$21,21,FALSE)+1,FALSE)
)
/
VLOOKUP($G8,'Ergebnisse Basisszenario'!$A$1:$H$21,HLOOKUP(H$1,'Ergebnisse Basisszenario'!$B$1:$G$21,21,FALSE)+1,FALSE)</f>
        <v>0.99839000624281282</v>
      </c>
      <c r="I8" s="192">
        <f>(
VLOOKUP($G8,$A$2:$E$18,HLOOKUP(I$1,$B$1:$E$19,19,FALSE)+1,FALSE)
-
VLOOKUP($G8,'Ergebnisse Basisszenario'!$A$1:$H$21,HLOOKUP(I$1,'Ergebnisse Basisszenario'!$B$1:$G$21,21,FALSE)+1,FALSE)
)
/
VLOOKUP($G8,'Ergebnisse Basisszenario'!$A$1:$H$21,HLOOKUP(I$1,'Ergebnisse Basisszenario'!$B$1:$G$21,21,FALSE)+1,FALSE)</f>
        <v>0</v>
      </c>
      <c r="K8" s="185" t="s">
        <v>914</v>
      </c>
      <c r="L8" s="185" t="b">
        <f>IF(
IF((VLOOKUP($K8,$A$2:$E$18,HLOOKUP(L$1,$B$1:$E$19,19,FALSE)+1,FALSE)-VLOOKUP($K8,$A$2:$E$18,HLOOKUP(L$1,$B$1:$E$19,19,FALSE)+2,FALSE))&lt;0,TRUE,FALSE)
=
IF((VLOOKUP($K8,'Ergebnisse Basisszenario'!$A$2:$G$20,HLOOKUP(L$1,'Ergebnisse Basisszenario'!$B$1:$G$21,21,FALSE)+1,FALSE)-VLOOKUP($K8,'Ergebnisse Basisszenario'!$A$2:$G$20,HLOOKUP(L$1,'Ergebnisse Basisszenario'!$B$1:$G$21,21,FALSE)+2,FALSE))&lt;0,TRUE,FALSE),
TRUE,FALSE)</f>
        <v>1</v>
      </c>
    </row>
    <row r="9" spans="1:12" x14ac:dyDescent="0.3">
      <c r="A9" s="185" t="s">
        <v>916</v>
      </c>
      <c r="B9" s="191">
        <v>1.9661415427046951</v>
      </c>
      <c r="C9" s="191">
        <v>0.28211167118700092</v>
      </c>
      <c r="D9" s="185" t="s">
        <v>917</v>
      </c>
      <c r="G9" s="185" t="s">
        <v>916</v>
      </c>
      <c r="H9" s="192">
        <f>(
VLOOKUP($G9,$A$2:$E$18,HLOOKUP(H$1,$B$1:$E$19,19,FALSE)+1,FALSE)
-
VLOOKUP($G9,'Ergebnisse Basisszenario'!$A$1:$H$21,HLOOKUP(H$1,'Ergebnisse Basisszenario'!$B$1:$G$21,21,FALSE)+1,FALSE)
)
/
VLOOKUP($G9,'Ergebnisse Basisszenario'!$A$1:$H$21,HLOOKUP(H$1,'Ergebnisse Basisszenario'!$B$1:$G$21,21,FALSE)+1,FALSE)</f>
        <v>1.2166202065502849</v>
      </c>
      <c r="I9" s="192">
        <f>(
VLOOKUP($G9,$A$2:$E$18,HLOOKUP(I$1,$B$1:$E$19,19,FALSE)+1,FALSE)
-
VLOOKUP($G9,'Ergebnisse Basisszenario'!$A$1:$H$21,HLOOKUP(I$1,'Ergebnisse Basisszenario'!$B$1:$G$21,21,FALSE)+1,FALSE)
)
/
VLOOKUP($G9,'Ergebnisse Basisszenario'!$A$1:$H$21,HLOOKUP(I$1,'Ergebnisse Basisszenario'!$B$1:$G$21,21,FALSE)+1,FALSE)</f>
        <v>0</v>
      </c>
      <c r="K9" s="185" t="s">
        <v>916</v>
      </c>
      <c r="L9" s="185" t="b">
        <f>IF(
IF((VLOOKUP($K9,$A$2:$E$18,HLOOKUP(L$1,$B$1:$E$19,19,FALSE)+1,FALSE)-VLOOKUP($K9,$A$2:$E$18,HLOOKUP(L$1,$B$1:$E$19,19,FALSE)+2,FALSE))&lt;0,TRUE,FALSE)
=
IF((VLOOKUP($K9,'Ergebnisse Basisszenario'!$A$2:$G$20,HLOOKUP(L$1,'Ergebnisse Basisszenario'!$B$1:$G$21,21,FALSE)+1,FALSE)-VLOOKUP($K9,'Ergebnisse Basisszenario'!$A$2:$G$20,HLOOKUP(L$1,'Ergebnisse Basisszenario'!$B$1:$G$21,21,FALSE)+2,FALSE))&lt;0,TRUE,FALSE),
TRUE,FALSE)</f>
        <v>1</v>
      </c>
    </row>
    <row r="10" spans="1:12" x14ac:dyDescent="0.3">
      <c r="A10" s="185" t="s">
        <v>918</v>
      </c>
      <c r="B10" s="191">
        <v>2.5416373733768911E-7</v>
      </c>
      <c r="C10" s="191">
        <v>2.525459982681596E-8</v>
      </c>
      <c r="D10" s="185" t="s">
        <v>919</v>
      </c>
      <c r="G10" s="185" t="s">
        <v>918</v>
      </c>
      <c r="H10" s="192">
        <f>(
VLOOKUP($G10,$A$2:$E$18,HLOOKUP(H$1,$B$1:$E$19,19,FALSE)+1,FALSE)
-
VLOOKUP($G10,'Ergebnisse Basisszenario'!$A$1:$H$21,HLOOKUP(H$1,'Ergebnisse Basisszenario'!$B$1:$G$21,21,FALSE)+1,FALSE)
)
/
VLOOKUP($G10,'Ergebnisse Basisszenario'!$A$1:$H$21,HLOOKUP(H$1,'Ergebnisse Basisszenario'!$B$1:$G$21,21,FALSE)+1,FALSE)</f>
        <v>-0.40265253534545181</v>
      </c>
      <c r="I10" s="192">
        <f>(
VLOOKUP($G10,$A$2:$E$18,HLOOKUP(I$1,$B$1:$E$19,19,FALSE)+1,FALSE)
-
VLOOKUP($G10,'Ergebnisse Basisszenario'!$A$1:$H$21,HLOOKUP(I$1,'Ergebnisse Basisszenario'!$B$1:$G$21,21,FALSE)+1,FALSE)
)
/
VLOOKUP($G10,'Ergebnisse Basisszenario'!$A$1:$H$21,HLOOKUP(I$1,'Ergebnisse Basisszenario'!$B$1:$G$21,21,FALSE)+1,FALSE)</f>
        <v>0</v>
      </c>
      <c r="K10" s="185" t="s">
        <v>918</v>
      </c>
      <c r="L10" s="185" t="b">
        <f>IF(
IF((VLOOKUP($K10,$A$2:$E$18,HLOOKUP(L$1,$B$1:$E$19,19,FALSE)+1,FALSE)-VLOOKUP($K10,$A$2:$E$18,HLOOKUP(L$1,$B$1:$E$19,19,FALSE)+2,FALSE))&lt;0,TRUE,FALSE)
=
IF((VLOOKUP($K10,'Ergebnisse Basisszenario'!$A$2:$G$20,HLOOKUP(L$1,'Ergebnisse Basisszenario'!$B$1:$G$21,21,FALSE)+1,FALSE)-VLOOKUP($K10,'Ergebnisse Basisszenario'!$A$2:$G$20,HLOOKUP(L$1,'Ergebnisse Basisszenario'!$B$1:$G$21,21,FALSE)+2,FALSE))&lt;0,TRUE,FALSE),
TRUE,FALSE)</f>
        <v>1</v>
      </c>
    </row>
    <row r="11" spans="1:12" x14ac:dyDescent="0.3">
      <c r="A11" s="185" t="s">
        <v>920</v>
      </c>
      <c r="B11" s="191">
        <v>4.2424854425794001E-6</v>
      </c>
      <c r="C11" s="191">
        <v>4.9330147233183431E-7</v>
      </c>
      <c r="D11" s="185" t="s">
        <v>919</v>
      </c>
      <c r="G11" s="185" t="s">
        <v>920</v>
      </c>
      <c r="H11" s="192">
        <f>(
VLOOKUP($G11,$A$2:$E$18,HLOOKUP(H$1,$B$1:$E$19,19,FALSE)+1,FALSE)
-
VLOOKUP($G11,'Ergebnisse Basisszenario'!$A$1:$H$21,HLOOKUP(H$1,'Ergebnisse Basisszenario'!$B$1:$G$21,21,FALSE)+1,FALSE)
)
/
VLOOKUP($G11,'Ergebnisse Basisszenario'!$A$1:$H$21,HLOOKUP(H$1,'Ergebnisse Basisszenario'!$B$1:$G$21,21,FALSE)+1,FALSE)</f>
        <v>0.95251317115103229</v>
      </c>
      <c r="I11" s="192">
        <f>(
VLOOKUP($G11,$A$2:$E$18,HLOOKUP(I$1,$B$1:$E$19,19,FALSE)+1,FALSE)
-
VLOOKUP($G11,'Ergebnisse Basisszenario'!$A$1:$H$21,HLOOKUP(I$1,'Ergebnisse Basisszenario'!$B$1:$G$21,21,FALSE)+1,FALSE)
)
/
VLOOKUP($G11,'Ergebnisse Basisszenario'!$A$1:$H$21,HLOOKUP(I$1,'Ergebnisse Basisszenario'!$B$1:$G$21,21,FALSE)+1,FALSE)</f>
        <v>0</v>
      </c>
      <c r="K11" s="185" t="s">
        <v>920</v>
      </c>
      <c r="L11" s="185" t="b">
        <f>IF(
IF((VLOOKUP($K11,$A$2:$E$18,HLOOKUP(L$1,$B$1:$E$19,19,FALSE)+1,FALSE)-VLOOKUP($K11,$A$2:$E$18,HLOOKUP(L$1,$B$1:$E$19,19,FALSE)+2,FALSE))&lt;0,TRUE,FALSE)
=
IF((VLOOKUP($K11,'Ergebnisse Basisszenario'!$A$2:$G$20,HLOOKUP(L$1,'Ergebnisse Basisszenario'!$B$1:$G$21,21,FALSE)+1,FALSE)-VLOOKUP($K11,'Ergebnisse Basisszenario'!$A$2:$G$20,HLOOKUP(L$1,'Ergebnisse Basisszenario'!$B$1:$G$21,21,FALSE)+2,FALSE))&lt;0,TRUE,FALSE),
TRUE,FALSE)</f>
        <v>1</v>
      </c>
    </row>
    <row r="12" spans="1:12" x14ac:dyDescent="0.3">
      <c r="A12" s="185" t="s">
        <v>921</v>
      </c>
      <c r="B12" s="191">
        <v>7.2728866775807104</v>
      </c>
      <c r="C12" s="191">
        <v>4.4516033757564406</v>
      </c>
      <c r="D12" s="185" t="s">
        <v>922</v>
      </c>
      <c r="G12" s="185" t="s">
        <v>921</v>
      </c>
      <c r="H12" s="192">
        <f>(
VLOOKUP($G12,$A$2:$E$18,HLOOKUP(H$1,$B$1:$E$19,19,FALSE)+1,FALSE)
-
VLOOKUP($G12,'Ergebnisse Basisszenario'!$A$1:$H$21,HLOOKUP(H$1,'Ergebnisse Basisszenario'!$B$1:$G$21,21,FALSE)+1,FALSE)
)
/
VLOOKUP($G12,'Ergebnisse Basisszenario'!$A$1:$H$21,HLOOKUP(H$1,'Ergebnisse Basisszenario'!$B$1:$G$21,21,FALSE)+1,FALSE)</f>
        <v>0.17907692948103709</v>
      </c>
      <c r="I12" s="192">
        <f>(
VLOOKUP($G12,$A$2:$E$18,HLOOKUP(I$1,$B$1:$E$19,19,FALSE)+1,FALSE)
-
VLOOKUP($G12,'Ergebnisse Basisszenario'!$A$1:$H$21,HLOOKUP(I$1,'Ergebnisse Basisszenario'!$B$1:$G$21,21,FALSE)+1,FALSE)
)
/
VLOOKUP($G12,'Ergebnisse Basisszenario'!$A$1:$H$21,HLOOKUP(I$1,'Ergebnisse Basisszenario'!$B$1:$G$21,21,FALSE)+1,FALSE)</f>
        <v>0</v>
      </c>
      <c r="K12" s="185" t="s">
        <v>921</v>
      </c>
      <c r="L12" s="185" t="b">
        <f>IF(
IF((VLOOKUP($K12,$A$2:$E$18,HLOOKUP(L$1,$B$1:$E$19,19,FALSE)+1,FALSE)-VLOOKUP($K12,$A$2:$E$18,HLOOKUP(L$1,$B$1:$E$19,19,FALSE)+2,FALSE))&lt;0,TRUE,FALSE)
=
IF((VLOOKUP($K12,'Ergebnisse Basisszenario'!$A$2:$G$20,HLOOKUP(L$1,'Ergebnisse Basisszenario'!$B$1:$G$21,21,FALSE)+1,FALSE)-VLOOKUP($K12,'Ergebnisse Basisszenario'!$A$2:$G$20,HLOOKUP(L$1,'Ergebnisse Basisszenario'!$B$1:$G$21,21,FALSE)+2,FALSE))&lt;0,TRUE,FALSE),
TRUE,FALSE)</f>
        <v>1</v>
      </c>
    </row>
    <row r="13" spans="1:12" x14ac:dyDescent="0.3">
      <c r="A13" s="185" t="s">
        <v>923</v>
      </c>
      <c r="B13" s="191">
        <v>3299.9025375778788</v>
      </c>
      <c r="C13" s="191">
        <v>144.08293864711169</v>
      </c>
      <c r="D13" s="185" t="s">
        <v>924</v>
      </c>
      <c r="G13" s="185" t="s">
        <v>923</v>
      </c>
      <c r="H13" s="192">
        <f>(
VLOOKUP($G13,$A$2:$E$18,HLOOKUP(H$1,$B$1:$E$19,19,FALSE)+1,FALSE)
-
VLOOKUP($G13,'Ergebnisse Basisszenario'!$A$1:$H$21,HLOOKUP(H$1,'Ergebnisse Basisszenario'!$B$1:$G$21,21,FALSE)+1,FALSE)
)
/
VLOOKUP($G13,'Ergebnisse Basisszenario'!$A$1:$H$21,HLOOKUP(H$1,'Ergebnisse Basisszenario'!$B$1:$G$21,21,FALSE)+1,FALSE)</f>
        <v>9.4697091775087592E-3</v>
      </c>
      <c r="I13" s="192">
        <f>(
VLOOKUP($G13,$A$2:$E$18,HLOOKUP(I$1,$B$1:$E$19,19,FALSE)+1,FALSE)
-
VLOOKUP($G13,'Ergebnisse Basisszenario'!$A$1:$H$21,HLOOKUP(I$1,'Ergebnisse Basisszenario'!$B$1:$G$21,21,FALSE)+1,FALSE)
)
/
VLOOKUP($G13,'Ergebnisse Basisszenario'!$A$1:$H$21,HLOOKUP(I$1,'Ergebnisse Basisszenario'!$B$1:$G$21,21,FALSE)+1,FALSE)</f>
        <v>0</v>
      </c>
      <c r="K13" s="185" t="s">
        <v>923</v>
      </c>
      <c r="L13" s="185" t="b">
        <f>IF(
IF((VLOOKUP($K13,$A$2:$E$18,HLOOKUP(L$1,$B$1:$E$19,19,FALSE)+1,FALSE)-VLOOKUP($K13,$A$2:$E$18,HLOOKUP(L$1,$B$1:$E$19,19,FALSE)+2,FALSE))&lt;0,TRUE,FALSE)
=
IF((VLOOKUP($K13,'Ergebnisse Basisszenario'!$A$2:$G$20,HLOOKUP(L$1,'Ergebnisse Basisszenario'!$B$1:$G$21,21,FALSE)+1,FALSE)-VLOOKUP($K13,'Ergebnisse Basisszenario'!$A$2:$G$20,HLOOKUP(L$1,'Ergebnisse Basisszenario'!$B$1:$G$21,21,FALSE)+2,FALSE))&lt;0,TRUE,FALSE),
TRUE,FALSE)</f>
        <v>1</v>
      </c>
    </row>
    <row r="14" spans="1:12" x14ac:dyDescent="0.3">
      <c r="A14" s="185" t="s">
        <v>925</v>
      </c>
      <c r="B14" s="191">
        <v>1.0331106546212429E-3</v>
      </c>
      <c r="C14" s="191">
        <v>3.4805261259712793E-4</v>
      </c>
      <c r="D14" s="185" t="s">
        <v>926</v>
      </c>
      <c r="G14" s="185" t="s">
        <v>925</v>
      </c>
      <c r="H14" s="192">
        <f>(
VLOOKUP($G14,$A$2:$E$18,HLOOKUP(H$1,$B$1:$E$19,19,FALSE)+1,FALSE)
-
VLOOKUP($G14,'Ergebnisse Basisszenario'!$A$1:$H$21,HLOOKUP(H$1,'Ergebnisse Basisszenario'!$B$1:$G$21,21,FALSE)+1,FALSE)
)
/
VLOOKUP($G14,'Ergebnisse Basisszenario'!$A$1:$H$21,HLOOKUP(H$1,'Ergebnisse Basisszenario'!$B$1:$G$21,21,FALSE)+1,FALSE)</f>
        <v>0.20854129456019213</v>
      </c>
      <c r="I14" s="192">
        <f>(
VLOOKUP($G14,$A$2:$E$18,HLOOKUP(I$1,$B$1:$E$19,19,FALSE)+1,FALSE)
-
VLOOKUP($G14,'Ergebnisse Basisszenario'!$A$1:$H$21,HLOOKUP(I$1,'Ergebnisse Basisszenario'!$B$1:$G$21,21,FALSE)+1,FALSE)
)
/
VLOOKUP($G14,'Ergebnisse Basisszenario'!$A$1:$H$21,HLOOKUP(I$1,'Ergebnisse Basisszenario'!$B$1:$G$21,21,FALSE)+1,FALSE)</f>
        <v>0</v>
      </c>
      <c r="K14" s="185" t="s">
        <v>925</v>
      </c>
      <c r="L14" s="185" t="b">
        <f>IF(
IF((VLOOKUP($K14,$A$2:$E$18,HLOOKUP(L$1,$B$1:$E$19,19,FALSE)+1,FALSE)-VLOOKUP($K14,$A$2:$E$18,HLOOKUP(L$1,$B$1:$E$19,19,FALSE)+2,FALSE))&lt;0,TRUE,FALSE)
=
IF((VLOOKUP($K14,'Ergebnisse Basisszenario'!$A$2:$G$20,HLOOKUP(L$1,'Ergebnisse Basisszenario'!$B$1:$G$21,21,FALSE)+1,FALSE)-VLOOKUP($K14,'Ergebnisse Basisszenario'!$A$2:$G$20,HLOOKUP(L$1,'Ergebnisse Basisszenario'!$B$1:$G$21,21,FALSE)+2,FALSE))&lt;0,TRUE,FALSE),
TRUE,FALSE)</f>
        <v>1</v>
      </c>
    </row>
    <row r="15" spans="1:12" x14ac:dyDescent="0.3">
      <c r="A15" s="185" t="s">
        <v>927</v>
      </c>
      <c r="B15" s="191">
        <v>9.5901296362459312E-6</v>
      </c>
      <c r="C15" s="191">
        <v>4.7380706577290914E-6</v>
      </c>
      <c r="D15" s="185" t="s">
        <v>928</v>
      </c>
      <c r="G15" s="185" t="s">
        <v>927</v>
      </c>
      <c r="H15" s="192">
        <f>(
VLOOKUP($G15,$A$2:$E$18,HLOOKUP(H$1,$B$1:$E$19,19,FALSE)+1,FALSE)
-
VLOOKUP($G15,'Ergebnisse Basisszenario'!$A$1:$H$21,HLOOKUP(H$1,'Ergebnisse Basisszenario'!$B$1:$G$21,21,FALSE)+1,FALSE)
)
/
VLOOKUP($G15,'Ergebnisse Basisszenario'!$A$1:$H$21,HLOOKUP(H$1,'Ergebnisse Basisszenario'!$B$1:$G$21,21,FALSE)+1,FALSE)</f>
        <v>0.32272166867712748</v>
      </c>
      <c r="I15" s="192">
        <f>(
VLOOKUP($G15,$A$2:$E$18,HLOOKUP(I$1,$B$1:$E$19,19,FALSE)+1,FALSE)
-
VLOOKUP($G15,'Ergebnisse Basisszenario'!$A$1:$H$21,HLOOKUP(I$1,'Ergebnisse Basisszenario'!$B$1:$G$21,21,FALSE)+1,FALSE)
)
/
VLOOKUP($G15,'Ergebnisse Basisszenario'!$A$1:$H$21,HLOOKUP(I$1,'Ergebnisse Basisszenario'!$B$1:$G$21,21,FALSE)+1,FALSE)</f>
        <v>0</v>
      </c>
      <c r="K15" s="185" t="s">
        <v>927</v>
      </c>
      <c r="L15" s="185" t="b">
        <f>IF(
IF((VLOOKUP($K15,$A$2:$E$18,HLOOKUP(L$1,$B$1:$E$19,19,FALSE)+1,FALSE)-VLOOKUP($K15,$A$2:$E$18,HLOOKUP(L$1,$B$1:$E$19,19,FALSE)+2,FALSE))&lt;0,TRUE,FALSE)
=
IF((VLOOKUP($K15,'Ergebnisse Basisszenario'!$A$2:$G$20,HLOOKUP(L$1,'Ergebnisse Basisszenario'!$B$1:$G$21,21,FALSE)+1,FALSE)-VLOOKUP($K15,'Ergebnisse Basisszenario'!$A$2:$G$20,HLOOKUP(L$1,'Ergebnisse Basisszenario'!$B$1:$G$21,21,FALSE)+2,FALSE))&lt;0,TRUE,FALSE),
TRUE,FALSE)</f>
        <v>1</v>
      </c>
    </row>
    <row r="16" spans="1:12" x14ac:dyDescent="0.3">
      <c r="A16" s="185" t="s">
        <v>929</v>
      </c>
      <c r="B16" s="191">
        <v>1.3572166722456839E-5</v>
      </c>
      <c r="C16" s="191">
        <v>9.6015961159734082E-7</v>
      </c>
      <c r="D16" s="185" t="s">
        <v>930</v>
      </c>
      <c r="G16" s="185" t="s">
        <v>929</v>
      </c>
      <c r="H16" s="192">
        <f>(
VLOOKUP($G16,$A$2:$E$18,HLOOKUP(H$1,$B$1:$E$19,19,FALSE)+1,FALSE)
-
VLOOKUP($G16,'Ergebnisse Basisszenario'!$A$1:$H$21,HLOOKUP(H$1,'Ergebnisse Basisszenario'!$B$1:$G$21,21,FALSE)+1,FALSE)
)
/
VLOOKUP($G16,'Ergebnisse Basisszenario'!$A$1:$H$21,HLOOKUP(H$1,'Ergebnisse Basisszenario'!$B$1:$G$21,21,FALSE)+1,FALSE)</f>
        <v>1.1767254053328722</v>
      </c>
      <c r="I16" s="192">
        <f>(
VLOOKUP($G16,$A$2:$E$18,HLOOKUP(I$1,$B$1:$E$19,19,FALSE)+1,FALSE)
-
VLOOKUP($G16,'Ergebnisse Basisszenario'!$A$1:$H$21,HLOOKUP(I$1,'Ergebnisse Basisszenario'!$B$1:$G$21,21,FALSE)+1,FALSE)
)
/
VLOOKUP($G16,'Ergebnisse Basisszenario'!$A$1:$H$21,HLOOKUP(I$1,'Ergebnisse Basisszenario'!$B$1:$G$21,21,FALSE)+1,FALSE)</f>
        <v>0</v>
      </c>
      <c r="K16" s="185" t="s">
        <v>929</v>
      </c>
      <c r="L16" s="185" t="b">
        <f>IF(
IF((VLOOKUP($K16,$A$2:$E$18,HLOOKUP(L$1,$B$1:$E$19,19,FALSE)+1,FALSE)-VLOOKUP($K16,$A$2:$E$18,HLOOKUP(L$1,$B$1:$E$19,19,FALSE)+2,FALSE))&lt;0,TRUE,FALSE)
=
IF((VLOOKUP($K16,'Ergebnisse Basisszenario'!$A$2:$G$20,HLOOKUP(L$1,'Ergebnisse Basisszenario'!$B$1:$G$21,21,FALSE)+1,FALSE)-VLOOKUP($K16,'Ergebnisse Basisszenario'!$A$2:$G$20,HLOOKUP(L$1,'Ergebnisse Basisszenario'!$B$1:$G$21,21,FALSE)+2,FALSE))&lt;0,TRUE,FALSE),
TRUE,FALSE)</f>
        <v>1</v>
      </c>
    </row>
    <row r="17" spans="1:12" x14ac:dyDescent="0.3">
      <c r="A17" s="185" t="s">
        <v>931</v>
      </c>
      <c r="B17" s="191">
        <v>0.6090193282242331</v>
      </c>
      <c r="C17" s="191">
        <v>0.10031635463626799</v>
      </c>
      <c r="D17" s="185" t="s">
        <v>932</v>
      </c>
      <c r="G17" s="185" t="s">
        <v>931</v>
      </c>
      <c r="H17" s="192">
        <f>(
VLOOKUP($G17,$A$2:$E$18,HLOOKUP(H$1,$B$1:$E$19,19,FALSE)+1,FALSE)
-
VLOOKUP($G17,'Ergebnisse Basisszenario'!$A$1:$H$21,HLOOKUP(H$1,'Ergebnisse Basisszenario'!$B$1:$G$21,21,FALSE)+1,FALSE)
)
/
VLOOKUP($G17,'Ergebnisse Basisszenario'!$A$1:$H$21,HLOOKUP(H$1,'Ergebnisse Basisszenario'!$B$1:$G$21,21,FALSE)+1,FALSE)</f>
        <v>0.72093188477250403</v>
      </c>
      <c r="I17" s="192">
        <f>(
VLOOKUP($G17,$A$2:$E$18,HLOOKUP(I$1,$B$1:$E$19,19,FALSE)+1,FALSE)
-
VLOOKUP($G17,'Ergebnisse Basisszenario'!$A$1:$H$21,HLOOKUP(I$1,'Ergebnisse Basisszenario'!$B$1:$G$21,21,FALSE)+1,FALSE)
)
/
VLOOKUP($G17,'Ergebnisse Basisszenario'!$A$1:$H$21,HLOOKUP(I$1,'Ergebnisse Basisszenario'!$B$1:$G$21,21,FALSE)+1,FALSE)</f>
        <v>0</v>
      </c>
      <c r="K17" s="185" t="s">
        <v>931</v>
      </c>
      <c r="L17" s="185" t="b">
        <f>IF(
IF((VLOOKUP($K17,$A$2:$E$18,HLOOKUP(L$1,$B$1:$E$19,19,FALSE)+1,FALSE)-VLOOKUP($K17,$A$2:$E$18,HLOOKUP(L$1,$B$1:$E$19,19,FALSE)+2,FALSE))&lt;0,TRUE,FALSE)
=
IF((VLOOKUP($K17,'Ergebnisse Basisszenario'!$A$2:$G$20,HLOOKUP(L$1,'Ergebnisse Basisszenario'!$B$1:$G$21,21,FALSE)+1,FALSE)-VLOOKUP($K17,'Ergebnisse Basisszenario'!$A$2:$G$20,HLOOKUP(L$1,'Ergebnisse Basisszenario'!$B$1:$G$21,21,FALSE)+2,FALSE))&lt;0,TRUE,FALSE),
TRUE,FALSE)</f>
        <v>1</v>
      </c>
    </row>
    <row r="18" spans="1:12" x14ac:dyDescent="0.3">
      <c r="A18" s="185" t="s">
        <v>933</v>
      </c>
      <c r="B18" s="191">
        <v>52.451003475614662</v>
      </c>
      <c r="C18" s="191">
        <v>10.6454099233185</v>
      </c>
      <c r="D18" s="185" t="s">
        <v>934</v>
      </c>
      <c r="G18" s="185" t="s">
        <v>933</v>
      </c>
      <c r="H18" s="192">
        <f>(
VLOOKUP($G18,$A$2:$E$18,HLOOKUP(H$1,$B$1:$E$19,19,FALSE)+1,FALSE)
-
VLOOKUP($G18,'Ergebnisse Basisszenario'!$A$1:$H$21,HLOOKUP(H$1,'Ergebnisse Basisszenario'!$B$1:$G$21,21,FALSE)+1,FALSE)
)
/
VLOOKUP($G18,'Ergebnisse Basisszenario'!$A$1:$H$21,HLOOKUP(H$1,'Ergebnisse Basisszenario'!$B$1:$G$21,21,FALSE)+1,FALSE)</f>
        <v>0.3414475237428139</v>
      </c>
      <c r="I18" s="192">
        <f>(
VLOOKUP($G18,$A$2:$E$18,HLOOKUP(I$1,$B$1:$E$19,19,FALSE)+1,FALSE)
-
VLOOKUP($G18,'Ergebnisse Basisszenario'!$A$1:$H$21,HLOOKUP(I$1,'Ergebnisse Basisszenario'!$B$1:$G$21,21,FALSE)+1,FALSE)
)
/
VLOOKUP($G18,'Ergebnisse Basisszenario'!$A$1:$H$21,HLOOKUP(I$1,'Ergebnisse Basisszenario'!$B$1:$G$21,21,FALSE)+1,FALSE)</f>
        <v>0</v>
      </c>
      <c r="K18" s="185" t="s">
        <v>933</v>
      </c>
      <c r="L18" s="185" t="b">
        <f>IF(
IF((VLOOKUP($K18,$A$2:$E$18,HLOOKUP(L$1,$B$1:$E$19,19,FALSE)+1,FALSE)-VLOOKUP($K18,$A$2:$E$18,HLOOKUP(L$1,$B$1:$E$19,19,FALSE)+2,FALSE))&lt;0,TRUE,FALSE)
=
IF((VLOOKUP($K18,'Ergebnisse Basisszenario'!$A$2:$G$20,HLOOKUP(L$1,'Ergebnisse Basisszenario'!$B$1:$G$21,21,FALSE)+1,FALSE)-VLOOKUP($K18,'Ergebnisse Basisszenario'!$A$2:$G$20,HLOOKUP(L$1,'Ergebnisse Basisszenario'!$B$1:$G$21,21,FALSE)+2,FALSE))&lt;0,TRUE,FALSE),
TRUE,FALSE)</f>
        <v>1</v>
      </c>
    </row>
    <row r="19" spans="1:12" x14ac:dyDescent="0.3">
      <c r="B19" s="185">
        <v>1</v>
      </c>
      <c r="C19" s="185">
        <v>2</v>
      </c>
    </row>
    <row r="21" spans="1:12" x14ac:dyDescent="0.3">
      <c r="A21" s="186" t="s">
        <v>938</v>
      </c>
      <c r="B21" s="247" cm="1">
        <f t="array" ref="B21">SUMPRODUCT((B2:B18&lt;C2:C18)*1)</f>
        <v>0</v>
      </c>
      <c r="C21" s="247"/>
    </row>
    <row r="22" spans="1:12" x14ac:dyDescent="0.3">
      <c r="A22" s="208" t="s">
        <v>1000</v>
      </c>
    </row>
    <row r="23" spans="1:12" x14ac:dyDescent="0.3">
      <c r="A23" s="207" t="s">
        <v>903</v>
      </c>
    </row>
    <row r="24" spans="1:12" x14ac:dyDescent="0.3">
      <c r="A24" s="186"/>
      <c r="B24" s="247" t="s">
        <v>898</v>
      </c>
      <c r="C24" s="247"/>
    </row>
    <row r="25" spans="1:12" x14ac:dyDescent="0.3">
      <c r="B25" s="185" t="s">
        <v>660</v>
      </c>
      <c r="C25" s="185" t="s">
        <v>669</v>
      </c>
    </row>
    <row r="26" spans="1:12" x14ac:dyDescent="0.3">
      <c r="A26" s="185" t="s">
        <v>939</v>
      </c>
      <c r="B26" s="188">
        <f>VLOOKUP($A$23,$A$2:$G$18,2,FALSE)</f>
        <v>186.72151727822941</v>
      </c>
      <c r="C26" s="188">
        <f>VLOOKUP($A$23,$A$2:$G$18,3,FALSE)</f>
        <v>51.451796087851058</v>
      </c>
    </row>
    <row r="27" spans="1:12" x14ac:dyDescent="0.3">
      <c r="A27" s="185" t="s">
        <v>940</v>
      </c>
      <c r="B27" s="187">
        <f>VLOOKUP($A$23,'Ergebnisse Basisszenario'!$A$2:$G$20,2,FALSE)</f>
        <v>94.428134249607126</v>
      </c>
      <c r="C27" s="187">
        <f>VLOOKUP($A$23,'Ergebnisse Basisszenario'!$A$2:$G$20,3,FALSE)</f>
        <v>51.451796087851058</v>
      </c>
    </row>
    <row r="28" spans="1:12" x14ac:dyDescent="0.3">
      <c r="A28" s="185" t="s">
        <v>941</v>
      </c>
      <c r="B28" s="185">
        <f>B26-B27</f>
        <v>92.293383028622287</v>
      </c>
      <c r="C28" s="185">
        <f t="shared" ref="C28" si="0">C26-C27</f>
        <v>0</v>
      </c>
    </row>
    <row r="29" spans="1:12" x14ac:dyDescent="0.3">
      <c r="A29" s="185" t="s">
        <v>942</v>
      </c>
      <c r="B29" s="185">
        <f>IF(B28&gt;0,B28,0)</f>
        <v>92.293383028622287</v>
      </c>
      <c r="C29" s="185">
        <f t="shared" ref="C29" si="1">IF(C28&gt;0,C28,0)</f>
        <v>0</v>
      </c>
    </row>
    <row r="30" spans="1:12" x14ac:dyDescent="0.3">
      <c r="A30" s="185" t="s">
        <v>943</v>
      </c>
      <c r="B30" s="185">
        <f>IF(B28&lt;0,B28,0)*(-1)</f>
        <v>0</v>
      </c>
      <c r="C30" s="185">
        <f t="shared" ref="C30" si="2">IF(C28&lt;0,C28,0)*(-1)</f>
        <v>0</v>
      </c>
    </row>
    <row r="31" spans="1:12" x14ac:dyDescent="0.3">
      <c r="A31" s="185" t="s">
        <v>944</v>
      </c>
      <c r="B31" s="185">
        <f>IF(B26&lt;B27,B26,B27)</f>
        <v>94.428134249607126</v>
      </c>
      <c r="C31" s="185">
        <f t="shared" ref="C31" si="3">IF(C26&lt;C27,C26,C27)</f>
        <v>51.451796087851058</v>
      </c>
    </row>
    <row r="32" spans="1:12" x14ac:dyDescent="0.3">
      <c r="A32" s="185" t="s">
        <v>945</v>
      </c>
      <c r="B32" s="201">
        <f>B28/B27</f>
        <v>0.97739284760893475</v>
      </c>
      <c r="C32" s="201">
        <f t="shared" ref="C32" si="4">C28/C27</f>
        <v>0</v>
      </c>
    </row>
    <row r="33" spans="1:3" x14ac:dyDescent="0.3">
      <c r="A33" s="185" t="s">
        <v>946</v>
      </c>
      <c r="B33" s="188">
        <f>SUM(B29:B31)+SUM(B29:B31)*0.05</f>
        <v>196.05759314214089</v>
      </c>
      <c r="C33" s="188">
        <f t="shared" ref="C33" si="5">SUM(C29:C31)+SUM(C29:C31)*0.05</f>
        <v>54.024385892243615</v>
      </c>
    </row>
  </sheetData>
  <mergeCells count="2">
    <mergeCell ref="B21:C21"/>
    <mergeCell ref="B24:C24"/>
  </mergeCells>
  <conditionalFormatting sqref="B2:C2">
    <cfRule type="colorScale" priority="19">
      <colorScale>
        <cfvo type="min"/>
        <cfvo type="percentile" val="50"/>
        <cfvo type="max"/>
        <color rgb="FF63BE7B"/>
        <color rgb="FFFFEB84"/>
        <color rgb="FFF8696B"/>
      </colorScale>
    </cfRule>
  </conditionalFormatting>
  <conditionalFormatting sqref="B3:C3">
    <cfRule type="colorScale" priority="18">
      <colorScale>
        <cfvo type="min"/>
        <cfvo type="percentile" val="50"/>
        <cfvo type="max"/>
        <color rgb="FF63BE7B"/>
        <color rgb="FFFFEB84"/>
        <color rgb="FFF8696B"/>
      </colorScale>
    </cfRule>
  </conditionalFormatting>
  <conditionalFormatting sqref="B4:C4">
    <cfRule type="colorScale" priority="17">
      <colorScale>
        <cfvo type="min"/>
        <cfvo type="percentile" val="50"/>
        <cfvo type="max"/>
        <color rgb="FF63BE7B"/>
        <color rgb="FFFFEB84"/>
        <color rgb="FFF8696B"/>
      </colorScale>
    </cfRule>
  </conditionalFormatting>
  <conditionalFormatting sqref="B5:C5">
    <cfRule type="colorScale" priority="16">
      <colorScale>
        <cfvo type="min"/>
        <cfvo type="percentile" val="50"/>
        <cfvo type="max"/>
        <color rgb="FF63BE7B"/>
        <color rgb="FFFFEB84"/>
        <color rgb="FFF8696B"/>
      </colorScale>
    </cfRule>
  </conditionalFormatting>
  <conditionalFormatting sqref="B6:C6">
    <cfRule type="colorScale" priority="15">
      <colorScale>
        <cfvo type="min"/>
        <cfvo type="percentile" val="50"/>
        <cfvo type="max"/>
        <color rgb="FF63BE7B"/>
        <color rgb="FFFFEB84"/>
        <color rgb="FFF8696B"/>
      </colorScale>
    </cfRule>
  </conditionalFormatting>
  <conditionalFormatting sqref="B7:C7">
    <cfRule type="colorScale" priority="14">
      <colorScale>
        <cfvo type="min"/>
        <cfvo type="percentile" val="50"/>
        <cfvo type="max"/>
        <color rgb="FF63BE7B"/>
        <color rgb="FFFFEB84"/>
        <color rgb="FFF8696B"/>
      </colorScale>
    </cfRule>
  </conditionalFormatting>
  <conditionalFormatting sqref="B8:C8">
    <cfRule type="colorScale" priority="13">
      <colorScale>
        <cfvo type="min"/>
        <cfvo type="percentile" val="50"/>
        <cfvo type="max"/>
        <color rgb="FF63BE7B"/>
        <color rgb="FFFFEB84"/>
        <color rgb="FFF8696B"/>
      </colorScale>
    </cfRule>
  </conditionalFormatting>
  <conditionalFormatting sqref="B9:C9">
    <cfRule type="colorScale" priority="12">
      <colorScale>
        <cfvo type="min"/>
        <cfvo type="percentile" val="50"/>
        <cfvo type="max"/>
        <color rgb="FF63BE7B"/>
        <color rgb="FFFFEB84"/>
        <color rgb="FFF8696B"/>
      </colorScale>
    </cfRule>
  </conditionalFormatting>
  <conditionalFormatting sqref="B10:C10">
    <cfRule type="colorScale" priority="11">
      <colorScale>
        <cfvo type="min"/>
        <cfvo type="percentile" val="50"/>
        <cfvo type="max"/>
        <color rgb="FF63BE7B"/>
        <color rgb="FFFFEB84"/>
        <color rgb="FFF8696B"/>
      </colorScale>
    </cfRule>
  </conditionalFormatting>
  <conditionalFormatting sqref="B11:C11">
    <cfRule type="colorScale" priority="10">
      <colorScale>
        <cfvo type="min"/>
        <cfvo type="percentile" val="50"/>
        <cfvo type="max"/>
        <color rgb="FF63BE7B"/>
        <color rgb="FFFFEB84"/>
        <color rgb="FFF8696B"/>
      </colorScale>
    </cfRule>
  </conditionalFormatting>
  <conditionalFormatting sqref="B12:C12">
    <cfRule type="colorScale" priority="9">
      <colorScale>
        <cfvo type="min"/>
        <cfvo type="percentile" val="50"/>
        <cfvo type="max"/>
        <color rgb="FF63BE7B"/>
        <color rgb="FFFFEB84"/>
        <color rgb="FFF8696B"/>
      </colorScale>
    </cfRule>
  </conditionalFormatting>
  <conditionalFormatting sqref="B13:C13">
    <cfRule type="colorScale" priority="8">
      <colorScale>
        <cfvo type="min"/>
        <cfvo type="percentile" val="50"/>
        <cfvo type="max"/>
        <color rgb="FF63BE7B"/>
        <color rgb="FFFFEB84"/>
        <color rgb="FFF8696B"/>
      </colorScale>
    </cfRule>
  </conditionalFormatting>
  <conditionalFormatting sqref="B14:C14">
    <cfRule type="colorScale" priority="7">
      <colorScale>
        <cfvo type="min"/>
        <cfvo type="percentile" val="50"/>
        <cfvo type="max"/>
        <color rgb="FF63BE7B"/>
        <color rgb="FFFFEB84"/>
        <color rgb="FFF8696B"/>
      </colorScale>
    </cfRule>
  </conditionalFormatting>
  <conditionalFormatting sqref="B15:C15">
    <cfRule type="colorScale" priority="6">
      <colorScale>
        <cfvo type="min"/>
        <cfvo type="percentile" val="50"/>
        <cfvo type="max"/>
        <color rgb="FF63BE7B"/>
        <color rgb="FFFFEB84"/>
        <color rgb="FFF8696B"/>
      </colorScale>
    </cfRule>
  </conditionalFormatting>
  <conditionalFormatting sqref="B16:C16">
    <cfRule type="colorScale" priority="5">
      <colorScale>
        <cfvo type="min"/>
        <cfvo type="percentile" val="50"/>
        <cfvo type="max"/>
        <color rgb="FF63BE7B"/>
        <color rgb="FFFFEB84"/>
        <color rgb="FFF8696B"/>
      </colorScale>
    </cfRule>
  </conditionalFormatting>
  <conditionalFormatting sqref="B17:C17">
    <cfRule type="colorScale" priority="4">
      <colorScale>
        <cfvo type="min"/>
        <cfvo type="percentile" val="50"/>
        <cfvo type="max"/>
        <color rgb="FF63BE7B"/>
        <color rgb="FFFFEB84"/>
        <color rgb="FFF8696B"/>
      </colorScale>
    </cfRule>
  </conditionalFormatting>
  <conditionalFormatting sqref="B18:C18">
    <cfRule type="colorScale" priority="3">
      <colorScale>
        <cfvo type="min"/>
        <cfvo type="percentile" val="50"/>
        <cfvo type="max"/>
        <color rgb="FF63BE7B"/>
        <color rgb="FFFFEB84"/>
        <color rgb="FFF8696B"/>
      </colorScale>
    </cfRule>
  </conditionalFormatting>
  <conditionalFormatting sqref="H2:I18">
    <cfRule type="cellIs" dxfId="9" priority="2" operator="notBetween">
      <formula>0.1</formula>
      <formula>-0.1</formula>
    </cfRule>
  </conditionalFormatting>
  <conditionalFormatting sqref="L2:L18">
    <cfRule type="cellIs" dxfId="8" priority="1" operator="notEqual">
      <formula>TRUE</formula>
    </cfRule>
  </conditionalFormatting>
  <dataValidations count="1">
    <dataValidation type="list" allowBlank="1" showInputMessage="1" showErrorMessage="1" sqref="A23" xr:uid="{38BA4DDD-70F1-447F-93B5-BBF423AF8E69}">
      <formula1>$A$2:$A$18</formula1>
    </dataValidation>
  </dataValidations>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3DB33-CC03-4B54-AF22-1FECD069B1C3}">
  <dimension ref="A1:Q33"/>
  <sheetViews>
    <sheetView topLeftCell="A8" workbookViewId="0">
      <selection activeCell="A22" sqref="A22"/>
    </sheetView>
  </sheetViews>
  <sheetFormatPr baseColWidth="10" defaultColWidth="11.44140625" defaultRowHeight="14.4" x14ac:dyDescent="0.3"/>
  <cols>
    <col min="1" max="1" width="92.88671875" style="185" bestFit="1" customWidth="1"/>
    <col min="2" max="16384" width="11.44140625" style="185"/>
  </cols>
  <sheetData>
    <row r="1" spans="1:17" x14ac:dyDescent="0.3">
      <c r="A1" s="185" t="s">
        <v>890</v>
      </c>
      <c r="B1" s="185" t="s">
        <v>891</v>
      </c>
      <c r="C1" s="185" t="s">
        <v>892</v>
      </c>
      <c r="D1" s="185" t="s">
        <v>893</v>
      </c>
      <c r="E1" s="185" t="s">
        <v>894</v>
      </c>
      <c r="F1" s="185" t="s">
        <v>897</v>
      </c>
      <c r="J1" s="185" t="s">
        <v>891</v>
      </c>
      <c r="K1" s="185" t="s">
        <v>892</v>
      </c>
      <c r="L1" s="185" t="s">
        <v>893</v>
      </c>
      <c r="M1" s="185" t="s">
        <v>894</v>
      </c>
      <c r="P1" s="185" t="s">
        <v>891</v>
      </c>
      <c r="Q1" s="185" t="s">
        <v>893</v>
      </c>
    </row>
    <row r="2" spans="1:17" x14ac:dyDescent="0.3">
      <c r="A2" s="185" t="s">
        <v>901</v>
      </c>
      <c r="B2" s="191">
        <v>0.28496356579029702</v>
      </c>
      <c r="C2" s="191">
        <v>0.12740560935773679</v>
      </c>
      <c r="D2" s="191">
        <v>0.2059719896858376</v>
      </c>
      <c r="E2" s="191">
        <v>0.13865856100212459</v>
      </c>
      <c r="F2" s="191" t="s">
        <v>902</v>
      </c>
      <c r="G2" s="191"/>
      <c r="I2" s="185" t="s">
        <v>901</v>
      </c>
      <c r="J2" s="192">
        <f>(
VLOOKUP($I2,$A$2:$G$18,HLOOKUP(J$1,$B$1:$G$19,19,FALSE)+1,FALSE)
-
VLOOKUP($I2,'Ergebnisse Basisszenario'!$A$1:$H$21,HLOOKUP(J$1,'Ergebnisse Basisszenario'!$B$1:$G$21,21,FALSE)+1,FALSE)
)
/
VLOOKUP($I2,'Ergebnisse Basisszenario'!$A$1:$H$21,HLOOKUP(J$1,'Ergebnisse Basisszenario'!$B$1:$G$21,21,FALSE)+1,FALSE)</f>
        <v>-0.23702957058229199</v>
      </c>
      <c r="K2" s="192">
        <f>(
VLOOKUP($I2,$A$2:$G$18,HLOOKUP(K$1,$B$1:$G$19,19,FALSE)+1,FALSE)
-
VLOOKUP($I2,'Ergebnisse Basisszenario'!$A$1:$H$21,HLOOKUP(K$1,'Ergebnisse Basisszenario'!$B$1:$G$21,21,FALSE)+1,FALSE)
)
/
VLOOKUP($I2,'Ergebnisse Basisszenario'!$A$1:$H$21,HLOOKUP(K$1,'Ergebnisse Basisszenario'!$B$1:$G$21,21,FALSE)+1,FALSE)</f>
        <v>0</v>
      </c>
      <c r="L2" s="192">
        <f>(
VLOOKUP($I2,$A$2:$G$18,HLOOKUP(L$1,$B$1:$G$19,19,FALSE)+1,FALSE)
-
VLOOKUP($I2,'Ergebnisse Basisszenario'!$A$1:$H$21,HLOOKUP(L$1,'Ergebnisse Basisszenario'!$B$1:$G$21,21,FALSE)+1,FALSE)
)
/
VLOOKUP($I2,'Ergebnisse Basisszenario'!$A$1:$H$21,HLOOKUP(L$1,'Ergebnisse Basisszenario'!$B$1:$G$21,21,FALSE)+1,FALSE)</f>
        <v>-0.1477745059828334</v>
      </c>
      <c r="M2" s="192">
        <f>(
VLOOKUP($I2,$A$2:$G$18,HLOOKUP(M$1,$B$1:$G$19,19,FALSE)+1,FALSE)
-
VLOOKUP($I2,'Ergebnisse Basisszenario'!$A$1:$H$21,HLOOKUP(M$1,'Ergebnisse Basisszenario'!$B$1:$G$21,21,FALSE)+1,FALSE)
)
/
VLOOKUP($I2,'Ergebnisse Basisszenario'!$A$1:$H$21,HLOOKUP(M$1,'Ergebnisse Basisszenario'!$B$1:$G$21,21,FALSE)+1,FALSE)</f>
        <v>-1.6013768159733656E-15</v>
      </c>
      <c r="O2" s="185" t="s">
        <v>901</v>
      </c>
      <c r="P2" s="185" t="b">
        <f>IF(
IF((VLOOKUP($O2,$A$2:$G$18,HLOOKUP(P$1,$B$1:$G$19,19,FALSE)+1,FALSE)-VLOOKUP($O2,$A$2:$G$18,HLOOKUP(P$1,$B$1:$G$19,19,FALSE)+2,FALSE))&lt;0,TRUE,FALSE)
=
IF((VLOOKUP($O2,'Ergebnisse Basisszenario'!$A$2:$G$20,HLOOKUP(P$1,'Ergebnisse Basisszenario'!$B$1:$G$21,21,FALSE)+1,FALSE)-VLOOKUP($O2,'Ergebnisse Basisszenario'!$A$2:$G$20,HLOOKUP(P$1,'Ergebnisse Basisszenario'!$B$1:$G$21,21,FALSE)+2,FALSE))&lt;0,TRUE,FALSE),
TRUE,FALSE)</f>
        <v>1</v>
      </c>
      <c r="Q2" s="185" t="b">
        <f>IF(
IF((VLOOKUP($O2,$A$2:$G$18,HLOOKUP(Q$1,$B$1:$G$19,19,FALSE)+1,FALSE)-VLOOKUP($O2,$A$2:$G$18,HLOOKUP(Q$1,$B$1:$G$19,19,FALSE)+2,FALSE))&lt;0,TRUE,FALSE)
=
IF((VLOOKUP($O2,'Ergebnisse Basisszenario'!$A$2:$G$20,HLOOKUP(Q$1,'Ergebnisse Basisszenario'!$B$1:$G$21,21,FALSE)+1,FALSE)-VLOOKUP($O2,'Ergebnisse Basisszenario'!$A$2:$G$20,HLOOKUP(Q$1,'Ergebnisse Basisszenario'!$B$1:$G$21,21,FALSE)+2,FALSE))&lt;0,TRUE,FALSE),
TRUE,FALSE)</f>
        <v>1</v>
      </c>
    </row>
    <row r="3" spans="1:17" x14ac:dyDescent="0.3">
      <c r="A3" s="185" t="s">
        <v>903</v>
      </c>
      <c r="B3" s="191">
        <v>56.714944857550599</v>
      </c>
      <c r="C3" s="191">
        <v>51.451796087851058</v>
      </c>
      <c r="D3" s="191">
        <v>92.10207439347333</v>
      </c>
      <c r="E3" s="191">
        <v>60.622517652332903</v>
      </c>
      <c r="F3" s="191" t="s">
        <v>904</v>
      </c>
      <c r="G3" s="191"/>
      <c r="I3" s="185" t="s">
        <v>903</v>
      </c>
      <c r="J3" s="192">
        <f>(
VLOOKUP($I3,$A$2:$G$18,HLOOKUP(J$1,$B$1:$G$19,19,FALSE)+1,FALSE)
-
VLOOKUP($I3,'Ergebnisse Basisszenario'!$A$1:$H$21,HLOOKUP(J$1,'Ergebnisse Basisszenario'!$B$1:$G$21,21,FALSE)+1,FALSE)
)
/
VLOOKUP($I3,'Ergebnisse Basisszenario'!$A$1:$H$21,HLOOKUP(J$1,'Ergebnisse Basisszenario'!$B$1:$G$21,21,FALSE)+1,FALSE)</f>
        <v>-0.3993850952552675</v>
      </c>
      <c r="K3" s="192">
        <f>(
VLOOKUP($I3,$A$2:$G$18,HLOOKUP(K$1,$B$1:$G$19,19,FALSE)+1,FALSE)
-
VLOOKUP($I3,'Ergebnisse Basisszenario'!$A$1:$H$21,HLOOKUP(K$1,'Ergebnisse Basisszenario'!$B$1:$G$21,21,FALSE)+1,FALSE)
)
/
VLOOKUP($I3,'Ergebnisse Basisszenario'!$A$1:$H$21,HLOOKUP(K$1,'Ergebnisse Basisszenario'!$B$1:$G$21,21,FALSE)+1,FALSE)</f>
        <v>0</v>
      </c>
      <c r="L3" s="192">
        <f>(
VLOOKUP($I3,$A$2:$G$18,HLOOKUP(L$1,$B$1:$G$19,19,FALSE)+1,FALSE)
-
VLOOKUP($I3,'Ergebnisse Basisszenario'!$A$1:$H$21,HLOOKUP(L$1,'Ergebnisse Basisszenario'!$B$1:$G$21,21,FALSE)+1,FALSE)
)
/
VLOOKUP($I3,'Ergebnisse Basisszenario'!$A$1:$H$21,HLOOKUP(L$1,'Ergebnisse Basisszenario'!$B$1:$G$21,21,FALSE)+1,FALSE)</f>
        <v>-8.7736062509898155E-2</v>
      </c>
      <c r="M3" s="192">
        <f>(
VLOOKUP($I3,$A$2:$G$18,HLOOKUP(M$1,$B$1:$G$19,19,FALSE)+1,FALSE)
-
VLOOKUP($I3,'Ergebnisse Basisszenario'!$A$1:$H$21,HLOOKUP(M$1,'Ergebnisse Basisszenario'!$B$1:$G$21,21,FALSE)+1,FALSE)
)
/
VLOOKUP($I3,'Ergebnisse Basisszenario'!$A$1:$H$21,HLOOKUP(M$1,'Ergebnisse Basisszenario'!$B$1:$G$21,21,FALSE)+1,FALSE)</f>
        <v>0</v>
      </c>
      <c r="O3" s="185" t="s">
        <v>903</v>
      </c>
      <c r="P3" s="185" t="b">
        <f>IF(
IF((VLOOKUP($O3,$A$2:$G$18,HLOOKUP(P$1,$B$1:$G$19,19,FALSE)+1,FALSE)-VLOOKUP($O3,$A$2:$G$18,HLOOKUP(P$1,$B$1:$G$19,19,FALSE)+2,FALSE))&lt;0,TRUE,FALSE)
=
IF((VLOOKUP($O3,'Ergebnisse Basisszenario'!$A$2:$G$20,HLOOKUP(P$1,'Ergebnisse Basisszenario'!$B$1:$G$21,21,FALSE)+1,FALSE)-VLOOKUP($O3,'Ergebnisse Basisszenario'!$A$2:$G$20,HLOOKUP(P$1,'Ergebnisse Basisszenario'!$B$1:$G$21,21,FALSE)+2,FALSE))&lt;0,TRUE,FALSE),
TRUE,FALSE)</f>
        <v>1</v>
      </c>
      <c r="Q3" s="185" t="b">
        <f>IF(
IF((VLOOKUP($O3,$A$2:$G$18,HLOOKUP(Q$1,$B$1:$G$19,19,FALSE)+1,FALSE)-VLOOKUP($O3,$A$2:$G$18,HLOOKUP(Q$1,$B$1:$G$19,19,FALSE)+2,FALSE))&lt;0,TRUE,FALSE)
=
IF((VLOOKUP($O3,'Ergebnisse Basisszenario'!$A$2:$G$20,HLOOKUP(Q$1,'Ergebnisse Basisszenario'!$B$1:$G$21,21,FALSE)+1,FALSE)-VLOOKUP($O3,'Ergebnisse Basisszenario'!$A$2:$G$20,HLOOKUP(Q$1,'Ergebnisse Basisszenario'!$B$1:$G$21,21,FALSE)+2,FALSE))&lt;0,TRUE,FALSE),
TRUE,FALSE)</f>
        <v>1</v>
      </c>
    </row>
    <row r="4" spans="1:17" x14ac:dyDescent="0.3">
      <c r="A4" s="185" t="s">
        <v>906</v>
      </c>
      <c r="B4" s="191">
        <v>55.227626705974487</v>
      </c>
      <c r="C4" s="191">
        <v>51.104833581974269</v>
      </c>
      <c r="D4" s="191">
        <v>91.443998507541821</v>
      </c>
      <c r="E4" s="191">
        <v>60.242299402801628</v>
      </c>
      <c r="F4" s="191" t="s">
        <v>904</v>
      </c>
      <c r="G4" s="191"/>
      <c r="I4" s="185" t="s">
        <v>906</v>
      </c>
      <c r="J4" s="192">
        <f>(
VLOOKUP($I4,$A$2:$G$18,HLOOKUP(J$1,$B$1:$G$19,19,FALSE)+1,FALSE)
-
VLOOKUP($I4,'Ergebnisse Basisszenario'!$A$1:$H$21,HLOOKUP(J$1,'Ergebnisse Basisszenario'!$B$1:$G$21,21,FALSE)+1,FALSE)
)
/
VLOOKUP($I4,'Ergebnisse Basisszenario'!$A$1:$H$21,HLOOKUP(J$1,'Ergebnisse Basisszenario'!$B$1:$G$21,21,FALSE)+1,FALSE)</f>
        <v>-0.39893765550470556</v>
      </c>
      <c r="K4" s="192">
        <f>(
VLOOKUP($I4,$A$2:$G$18,HLOOKUP(K$1,$B$1:$G$19,19,FALSE)+1,FALSE)
-
VLOOKUP($I4,'Ergebnisse Basisszenario'!$A$1:$H$21,HLOOKUP(K$1,'Ergebnisse Basisszenario'!$B$1:$G$21,21,FALSE)+1,FALSE)
)
/
VLOOKUP($I4,'Ergebnisse Basisszenario'!$A$1:$H$21,HLOOKUP(K$1,'Ergebnisse Basisszenario'!$B$1:$G$21,21,FALSE)+1,FALSE)</f>
        <v>-2.7807261503762065E-16</v>
      </c>
      <c r="L4" s="192">
        <f>(
VLOOKUP($I4,$A$2:$G$18,HLOOKUP(L$1,$B$1:$G$19,19,FALSE)+1,FALSE)
-
VLOOKUP($I4,'Ergebnisse Basisszenario'!$A$1:$H$21,HLOOKUP(L$1,'Ergebnisse Basisszenario'!$B$1:$G$21,21,FALSE)+1,FALSE)
)
/
VLOOKUP($I4,'Ergebnisse Basisszenario'!$A$1:$H$21,HLOOKUP(L$1,'Ergebnisse Basisszenario'!$B$1:$G$21,21,FALSE)+1,FALSE)</f>
        <v>-9.1548628075751204E-2</v>
      </c>
      <c r="M4" s="192">
        <f>(
VLOOKUP($I4,$A$2:$G$18,HLOOKUP(M$1,$B$1:$G$19,19,FALSE)+1,FALSE)
-
VLOOKUP($I4,'Ergebnisse Basisszenario'!$A$1:$H$21,HLOOKUP(M$1,'Ergebnisse Basisszenario'!$B$1:$G$21,21,FALSE)+1,FALSE)
)
/
VLOOKUP($I4,'Ergebnisse Basisszenario'!$A$1:$H$21,HLOOKUP(M$1,'Ergebnisse Basisszenario'!$B$1:$G$21,21,FALSE)+1,FALSE)</f>
        <v>-2.3589495846071757E-16</v>
      </c>
      <c r="O4" s="185" t="s">
        <v>906</v>
      </c>
      <c r="P4" s="185" t="b">
        <f>IF(
IF((VLOOKUP($O4,$A$2:$G$18,HLOOKUP(P$1,$B$1:$G$19,19,FALSE)+1,FALSE)-VLOOKUP($O4,$A$2:$G$18,HLOOKUP(P$1,$B$1:$G$19,19,FALSE)+2,FALSE))&lt;0,TRUE,FALSE)
=
IF((VLOOKUP($O4,'Ergebnisse Basisszenario'!$A$2:$G$20,HLOOKUP(P$1,'Ergebnisse Basisszenario'!$B$1:$G$21,21,FALSE)+1,FALSE)-VLOOKUP($O4,'Ergebnisse Basisszenario'!$A$2:$G$20,HLOOKUP(P$1,'Ergebnisse Basisszenario'!$B$1:$G$21,21,FALSE)+2,FALSE))&lt;0,TRUE,FALSE),
TRUE,FALSE)</f>
        <v>1</v>
      </c>
      <c r="Q4" s="185" t="b">
        <f>IF(
IF((VLOOKUP($O4,$A$2:$G$18,HLOOKUP(Q$1,$B$1:$G$19,19,FALSE)+1,FALSE)-VLOOKUP($O4,$A$2:$G$18,HLOOKUP(Q$1,$B$1:$G$19,19,FALSE)+2,FALSE))&lt;0,TRUE,FALSE)
=
IF((VLOOKUP($O4,'Ergebnisse Basisszenario'!$A$2:$G$20,HLOOKUP(Q$1,'Ergebnisse Basisszenario'!$B$1:$G$21,21,FALSE)+1,FALSE)-VLOOKUP($O4,'Ergebnisse Basisszenario'!$A$2:$G$20,HLOOKUP(Q$1,'Ergebnisse Basisszenario'!$B$1:$G$21,21,FALSE)+2,FALSE))&lt;0,TRUE,FALSE),
TRUE,FALSE)</f>
        <v>1</v>
      </c>
    </row>
    <row r="5" spans="1:17" x14ac:dyDescent="0.3">
      <c r="A5" s="185" t="s">
        <v>908</v>
      </c>
      <c r="B5" s="191">
        <v>2224.7307287215058</v>
      </c>
      <c r="C5" s="191">
        <v>527.50758404574412</v>
      </c>
      <c r="D5" s="191">
        <v>901.65475264668328</v>
      </c>
      <c r="E5" s="191">
        <v>541.98479464177558</v>
      </c>
      <c r="F5" s="191" t="s">
        <v>909</v>
      </c>
      <c r="G5" s="191"/>
      <c r="I5" s="185" t="s">
        <v>908</v>
      </c>
      <c r="J5" s="192">
        <f>(
VLOOKUP($I5,$A$2:$G$18,HLOOKUP(J$1,$B$1:$G$19,19,FALSE)+1,FALSE)
-
VLOOKUP($I5,'Ergebnisse Basisszenario'!$A$1:$H$21,HLOOKUP(J$1,'Ergebnisse Basisszenario'!$B$1:$G$21,21,FALSE)+1,FALSE)
)
/
VLOOKUP($I5,'Ergebnisse Basisszenario'!$A$1:$H$21,HLOOKUP(J$1,'Ergebnisse Basisszenario'!$B$1:$G$21,21,FALSE)+1,FALSE)</f>
        <v>-0.37486551343456354</v>
      </c>
      <c r="K5" s="192">
        <f>(
VLOOKUP($I5,$A$2:$G$18,HLOOKUP(K$1,$B$1:$G$19,19,FALSE)+1,FALSE)
-
VLOOKUP($I5,'Ergebnisse Basisszenario'!$A$1:$H$21,HLOOKUP(K$1,'Ergebnisse Basisszenario'!$B$1:$G$21,21,FALSE)+1,FALSE)
)
/
VLOOKUP($I5,'Ergebnisse Basisszenario'!$A$1:$H$21,HLOOKUP(K$1,'Ergebnisse Basisszenario'!$B$1:$G$21,21,FALSE)+1,FALSE)</f>
        <v>-6.4655091884948518E-16</v>
      </c>
      <c r="L5" s="192">
        <f>(
VLOOKUP($I5,$A$2:$G$18,HLOOKUP(L$1,$B$1:$G$19,19,FALSE)+1,FALSE)
-
VLOOKUP($I5,'Ergebnisse Basisszenario'!$A$1:$H$21,HLOOKUP(L$1,'Ergebnisse Basisszenario'!$B$1:$G$21,21,FALSE)+1,FALSE)
)
/
VLOOKUP($I5,'Ergebnisse Basisszenario'!$A$1:$H$21,HLOOKUP(L$1,'Ergebnisse Basisszenario'!$B$1:$G$21,21,FALSE)+1,FALSE)</f>
        <v>0.1248210889397689</v>
      </c>
      <c r="M5" s="192">
        <f>(
VLOOKUP($I5,$A$2:$G$18,HLOOKUP(M$1,$B$1:$G$19,19,FALSE)+1,FALSE)
-
VLOOKUP($I5,'Ergebnisse Basisszenario'!$A$1:$H$21,HLOOKUP(M$1,'Ergebnisse Basisszenario'!$B$1:$G$21,21,FALSE)+1,FALSE)
)
/
VLOOKUP($I5,'Ergebnisse Basisszenario'!$A$1:$H$21,HLOOKUP(M$1,'Ergebnisse Basisszenario'!$B$1:$G$21,21,FALSE)+1,FALSE)</f>
        <v>0</v>
      </c>
      <c r="O5" s="185" t="s">
        <v>908</v>
      </c>
      <c r="P5" s="185" t="b">
        <f>IF(
IF((VLOOKUP($O5,$A$2:$G$18,HLOOKUP(P$1,$B$1:$G$19,19,FALSE)+1,FALSE)-VLOOKUP($O5,$A$2:$G$18,HLOOKUP(P$1,$B$1:$G$19,19,FALSE)+2,FALSE))&lt;0,TRUE,FALSE)
=
IF((VLOOKUP($O5,'Ergebnisse Basisszenario'!$A$2:$G$20,HLOOKUP(P$1,'Ergebnisse Basisszenario'!$B$1:$G$21,21,FALSE)+1,FALSE)-VLOOKUP($O5,'Ergebnisse Basisszenario'!$A$2:$G$20,HLOOKUP(P$1,'Ergebnisse Basisszenario'!$B$1:$G$21,21,FALSE)+2,FALSE))&lt;0,TRUE,FALSE),
TRUE,FALSE)</f>
        <v>1</v>
      </c>
      <c r="Q5" s="185" t="b">
        <f>IF(
IF((VLOOKUP($O5,$A$2:$G$18,HLOOKUP(Q$1,$B$1:$G$19,19,FALSE)+1,FALSE)-VLOOKUP($O5,$A$2:$G$18,HLOOKUP(Q$1,$B$1:$G$19,19,FALSE)+2,FALSE))&lt;0,TRUE,FALSE)
=
IF((VLOOKUP($O5,'Ergebnisse Basisszenario'!$A$2:$G$20,HLOOKUP(Q$1,'Ergebnisse Basisszenario'!$B$1:$G$21,21,FALSE)+1,FALSE)-VLOOKUP($O5,'Ergebnisse Basisszenario'!$A$2:$G$20,HLOOKUP(Q$1,'Ergebnisse Basisszenario'!$B$1:$G$21,21,FALSE)+2,FALSE))&lt;0,TRUE,FALSE),
TRUE,FALSE)</f>
        <v>1</v>
      </c>
    </row>
    <row r="6" spans="1:17" x14ac:dyDescent="0.3">
      <c r="A6" s="185" t="s">
        <v>910</v>
      </c>
      <c r="B6" s="191">
        <v>811.2671006961607</v>
      </c>
      <c r="C6" s="191">
        <v>796.43775995896681</v>
      </c>
      <c r="D6" s="191">
        <v>1080.865655416927</v>
      </c>
      <c r="E6" s="191">
        <v>923.9814926737223</v>
      </c>
      <c r="F6" s="191" t="s">
        <v>911</v>
      </c>
      <c r="G6" s="191"/>
      <c r="I6" s="185" t="s">
        <v>910</v>
      </c>
      <c r="J6" s="192">
        <f>(
VLOOKUP($I6,$A$2:$G$18,HLOOKUP(J$1,$B$1:$G$19,19,FALSE)+1,FALSE)
-
VLOOKUP($I6,'Ergebnisse Basisszenario'!$A$1:$H$21,HLOOKUP(J$1,'Ergebnisse Basisszenario'!$B$1:$G$21,21,FALSE)+1,FALSE)
)
/
VLOOKUP($I6,'Ergebnisse Basisszenario'!$A$1:$H$21,HLOOKUP(J$1,'Ergebnisse Basisszenario'!$B$1:$G$21,21,FALSE)+1,FALSE)</f>
        <v>-0.31536346470003779</v>
      </c>
      <c r="K6" s="192">
        <f>(
VLOOKUP($I6,$A$2:$G$18,HLOOKUP(K$1,$B$1:$G$19,19,FALSE)+1,FALSE)
-
VLOOKUP($I6,'Ergebnisse Basisszenario'!$A$1:$H$21,HLOOKUP(K$1,'Ergebnisse Basisszenario'!$B$1:$G$21,21,FALSE)+1,FALSE)
)
/
VLOOKUP($I6,'Ergebnisse Basisszenario'!$A$1:$H$21,HLOOKUP(K$1,'Ergebnisse Basisszenario'!$B$1:$G$21,21,FALSE)+1,FALSE)</f>
        <v>-1.4274415834763172E-15</v>
      </c>
      <c r="L6" s="192">
        <f>(
VLOOKUP($I6,$A$2:$G$18,HLOOKUP(L$1,$B$1:$G$19,19,FALSE)+1,FALSE)
-
VLOOKUP($I6,'Ergebnisse Basisszenario'!$A$1:$H$21,HLOOKUP(L$1,'Ergebnisse Basisszenario'!$B$1:$G$21,21,FALSE)+1,FALSE)
)
/
VLOOKUP($I6,'Ergebnisse Basisszenario'!$A$1:$H$21,HLOOKUP(L$1,'Ergebnisse Basisszenario'!$B$1:$G$21,21,FALSE)+1,FALSE)</f>
        <v>-0.24799003600325445</v>
      </c>
      <c r="M6" s="192">
        <f>(
VLOOKUP($I6,$A$2:$G$18,HLOOKUP(M$1,$B$1:$G$19,19,FALSE)+1,FALSE)
-
VLOOKUP($I6,'Ergebnisse Basisszenario'!$A$1:$H$21,HLOOKUP(M$1,'Ergebnisse Basisszenario'!$B$1:$G$21,21,FALSE)+1,FALSE)
)
/
VLOOKUP($I6,'Ergebnisse Basisszenario'!$A$1:$H$21,HLOOKUP(M$1,'Ergebnisse Basisszenario'!$B$1:$G$21,21,FALSE)+1,FALSE)</f>
        <v>-1.2304016760405099E-16</v>
      </c>
      <c r="O6" s="185" t="s">
        <v>910</v>
      </c>
      <c r="P6" s="185" t="b">
        <f>IF(
IF((VLOOKUP($O6,$A$2:$G$18,HLOOKUP(P$1,$B$1:$G$19,19,FALSE)+1,FALSE)-VLOOKUP($O6,$A$2:$G$18,HLOOKUP(P$1,$B$1:$G$19,19,FALSE)+2,FALSE))&lt;0,TRUE,FALSE)
=
IF((VLOOKUP($O6,'Ergebnisse Basisszenario'!$A$2:$G$20,HLOOKUP(P$1,'Ergebnisse Basisszenario'!$B$1:$G$21,21,FALSE)+1,FALSE)-VLOOKUP($O6,'Ergebnisse Basisszenario'!$A$2:$G$20,HLOOKUP(P$1,'Ergebnisse Basisszenario'!$B$1:$G$21,21,FALSE)+2,FALSE))&lt;0,TRUE,FALSE),
TRUE,FALSE)</f>
        <v>1</v>
      </c>
      <c r="Q6" s="185" t="b">
        <f>IF(
IF((VLOOKUP($O6,$A$2:$G$18,HLOOKUP(Q$1,$B$1:$G$19,19,FALSE)+1,FALSE)-VLOOKUP($O6,$A$2:$G$18,HLOOKUP(Q$1,$B$1:$G$19,19,FALSE)+2,FALSE))&lt;0,TRUE,FALSE)
=
IF((VLOOKUP($O6,'Ergebnisse Basisszenario'!$A$2:$G$20,HLOOKUP(Q$1,'Ergebnisse Basisszenario'!$B$1:$G$21,21,FALSE)+1,FALSE)-VLOOKUP($O6,'Ergebnisse Basisszenario'!$A$2:$G$20,HLOOKUP(Q$1,'Ergebnisse Basisszenario'!$B$1:$G$21,21,FALSE)+2,FALSE))&lt;0,TRUE,FALSE),
TRUE,FALSE)</f>
        <v>1</v>
      </c>
    </row>
    <row r="7" spans="1:17" x14ac:dyDescent="0.3">
      <c r="A7" s="185" t="s">
        <v>912</v>
      </c>
      <c r="B7" s="191">
        <v>3.2141099565344527E-2</v>
      </c>
      <c r="C7" s="191">
        <v>3.3263429173257912E-2</v>
      </c>
      <c r="D7" s="191">
        <v>2.6792101414069559E-2</v>
      </c>
      <c r="E7" s="191">
        <v>3.6889814548854781E-2</v>
      </c>
      <c r="F7" s="191" t="s">
        <v>913</v>
      </c>
      <c r="G7" s="191"/>
      <c r="I7" s="185" t="s">
        <v>912</v>
      </c>
      <c r="J7" s="192">
        <f>(
VLOOKUP($I7,$A$2:$G$18,HLOOKUP(J$1,$B$1:$G$19,19,FALSE)+1,FALSE)
-
VLOOKUP($I7,'Ergebnisse Basisszenario'!$A$1:$H$21,HLOOKUP(J$1,'Ergebnisse Basisszenario'!$B$1:$G$21,21,FALSE)+1,FALSE)
)
/
VLOOKUP($I7,'Ergebnisse Basisszenario'!$A$1:$H$21,HLOOKUP(J$1,'Ergebnisse Basisszenario'!$B$1:$G$21,21,FALSE)+1,FALSE)</f>
        <v>-0.28162947461145121</v>
      </c>
      <c r="K7" s="192">
        <f>(
VLOOKUP($I7,$A$2:$G$18,HLOOKUP(K$1,$B$1:$G$19,19,FALSE)+1,FALSE)
-
VLOOKUP($I7,'Ergebnisse Basisszenario'!$A$1:$H$21,HLOOKUP(K$1,'Ergebnisse Basisszenario'!$B$1:$G$21,21,FALSE)+1,FALSE)
)
/
VLOOKUP($I7,'Ergebnisse Basisszenario'!$A$1:$H$21,HLOOKUP(K$1,'Ergebnisse Basisszenario'!$B$1:$G$21,21,FALSE)+1,FALSE)</f>
        <v>0</v>
      </c>
      <c r="L7" s="192">
        <f>(
VLOOKUP($I7,$A$2:$G$18,HLOOKUP(L$1,$B$1:$G$19,19,FALSE)+1,FALSE)
-
VLOOKUP($I7,'Ergebnisse Basisszenario'!$A$1:$H$21,HLOOKUP(L$1,'Ergebnisse Basisszenario'!$B$1:$G$21,21,FALSE)+1,FALSE)
)
/
VLOOKUP($I7,'Ergebnisse Basisszenario'!$A$1:$H$21,HLOOKUP(L$1,'Ergebnisse Basisszenario'!$B$1:$G$21,21,FALSE)+1,FALSE)</f>
        <v>-3.8926775770035581E-2</v>
      </c>
      <c r="M7" s="192">
        <f>(
VLOOKUP($I7,$A$2:$G$18,HLOOKUP(M$1,$B$1:$G$19,19,FALSE)+1,FALSE)
-
VLOOKUP($I7,'Ergebnisse Basisszenario'!$A$1:$H$21,HLOOKUP(M$1,'Ergebnisse Basisszenario'!$B$1:$G$21,21,FALSE)+1,FALSE)
)
/
VLOOKUP($I7,'Ergebnisse Basisszenario'!$A$1:$H$21,HLOOKUP(M$1,'Ergebnisse Basisszenario'!$B$1:$G$21,21,FALSE)+1,FALSE)</f>
        <v>0</v>
      </c>
      <c r="O7" s="185" t="s">
        <v>912</v>
      </c>
      <c r="P7" s="185" t="b">
        <f>IF(
IF((VLOOKUP($O7,$A$2:$G$18,HLOOKUP(P$1,$B$1:$G$19,19,FALSE)+1,FALSE)-VLOOKUP($O7,$A$2:$G$18,HLOOKUP(P$1,$B$1:$G$19,19,FALSE)+2,FALSE))&lt;0,TRUE,FALSE)
=
IF((VLOOKUP($O7,'Ergebnisse Basisszenario'!$A$2:$G$20,HLOOKUP(P$1,'Ergebnisse Basisszenario'!$B$1:$G$21,21,FALSE)+1,FALSE)-VLOOKUP($O7,'Ergebnisse Basisszenario'!$A$2:$G$20,HLOOKUP(P$1,'Ergebnisse Basisszenario'!$B$1:$G$21,21,FALSE)+2,FALSE))&lt;0,TRUE,FALSE),
TRUE,FALSE)</f>
        <v>0</v>
      </c>
      <c r="Q7" s="185" t="b">
        <f>IF(
IF((VLOOKUP($O7,$A$2:$G$18,HLOOKUP(Q$1,$B$1:$G$19,19,FALSE)+1,FALSE)-VLOOKUP($O7,$A$2:$G$18,HLOOKUP(Q$1,$B$1:$G$19,19,FALSE)+2,FALSE))&lt;0,TRUE,FALSE)
=
IF((VLOOKUP($O7,'Ergebnisse Basisszenario'!$A$2:$G$20,HLOOKUP(Q$1,'Ergebnisse Basisszenario'!$B$1:$G$21,21,FALSE)+1,FALSE)-VLOOKUP($O7,'Ergebnisse Basisszenario'!$A$2:$G$20,HLOOKUP(Q$1,'Ergebnisse Basisszenario'!$B$1:$G$21,21,FALSE)+2,FALSE))&lt;0,TRUE,FALSE),
TRUE,FALSE)</f>
        <v>1</v>
      </c>
    </row>
    <row r="8" spans="1:17" x14ac:dyDescent="0.3">
      <c r="A8" s="185" t="s">
        <v>914</v>
      </c>
      <c r="B8" s="191">
        <v>5.712429612096824E-2</v>
      </c>
      <c r="C8" s="191">
        <v>3.1714480290257419E-2</v>
      </c>
      <c r="D8" s="191">
        <v>4.646894044081426E-2</v>
      </c>
      <c r="E8" s="191">
        <v>3.4505488940419902E-2</v>
      </c>
      <c r="F8" s="191" t="s">
        <v>915</v>
      </c>
      <c r="G8" s="191"/>
      <c r="I8" s="185" t="s">
        <v>914</v>
      </c>
      <c r="J8" s="192">
        <f>(
VLOOKUP($I8,$A$2:$G$18,HLOOKUP(J$1,$B$1:$G$19,19,FALSE)+1,FALSE)
-
VLOOKUP($I8,'Ergebnisse Basisszenario'!$A$1:$H$21,HLOOKUP(J$1,'Ergebnisse Basisszenario'!$B$1:$G$21,21,FALSE)+1,FALSE)
)
/
VLOOKUP($I8,'Ergebnisse Basisszenario'!$A$1:$H$21,HLOOKUP(J$1,'Ergebnisse Basisszenario'!$B$1:$G$21,21,FALSE)+1,FALSE)</f>
        <v>-0.41191658623101923</v>
      </c>
      <c r="K8" s="192">
        <f>(
VLOOKUP($I8,$A$2:$G$18,HLOOKUP(K$1,$B$1:$G$19,19,FALSE)+1,FALSE)
-
VLOOKUP($I8,'Ergebnisse Basisszenario'!$A$1:$H$21,HLOOKUP(K$1,'Ergebnisse Basisszenario'!$B$1:$G$21,21,FALSE)+1,FALSE)
)
/
VLOOKUP($I8,'Ergebnisse Basisszenario'!$A$1:$H$21,HLOOKUP(K$1,'Ergebnisse Basisszenario'!$B$1:$G$21,21,FALSE)+1,FALSE)</f>
        <v>-4.3758521914286767E-16</v>
      </c>
      <c r="L8" s="192">
        <f>(
VLOOKUP($I8,$A$2:$G$18,HLOOKUP(L$1,$B$1:$G$19,19,FALSE)+1,FALSE)
-
VLOOKUP($I8,'Ergebnisse Basisszenario'!$A$1:$H$21,HLOOKUP(L$1,'Ergebnisse Basisszenario'!$B$1:$G$21,21,FALSE)+1,FALSE)
)
/
VLOOKUP($I8,'Ergebnisse Basisszenario'!$A$1:$H$21,HLOOKUP(L$1,'Ergebnisse Basisszenario'!$B$1:$G$21,21,FALSE)+1,FALSE)</f>
        <v>-9.113590011760829E-2</v>
      </c>
      <c r="M8" s="192">
        <f>(
VLOOKUP($I8,$A$2:$G$18,HLOOKUP(M$1,$B$1:$G$19,19,FALSE)+1,FALSE)
-
VLOOKUP($I8,'Ergebnisse Basisszenario'!$A$1:$H$21,HLOOKUP(M$1,'Ergebnisse Basisszenario'!$B$1:$G$21,21,FALSE)+1,FALSE)
)
/
VLOOKUP($I8,'Ergebnisse Basisszenario'!$A$1:$H$21,HLOOKUP(M$1,'Ergebnisse Basisszenario'!$B$1:$G$21,21,FALSE)+1,FALSE)</f>
        <v>0</v>
      </c>
      <c r="O8" s="185" t="s">
        <v>914</v>
      </c>
      <c r="P8" s="185" t="b">
        <f>IF(
IF((VLOOKUP($O8,$A$2:$G$18,HLOOKUP(P$1,$B$1:$G$19,19,FALSE)+1,FALSE)-VLOOKUP($O8,$A$2:$G$18,HLOOKUP(P$1,$B$1:$G$19,19,FALSE)+2,FALSE))&lt;0,TRUE,FALSE)
=
IF((VLOOKUP($O8,'Ergebnisse Basisszenario'!$A$2:$G$20,HLOOKUP(P$1,'Ergebnisse Basisszenario'!$B$1:$G$21,21,FALSE)+1,FALSE)-VLOOKUP($O8,'Ergebnisse Basisszenario'!$A$2:$G$20,HLOOKUP(P$1,'Ergebnisse Basisszenario'!$B$1:$G$21,21,FALSE)+2,FALSE))&lt;0,TRUE,FALSE),
TRUE,FALSE)</f>
        <v>1</v>
      </c>
      <c r="Q8" s="185" t="b">
        <f>IF(
IF((VLOOKUP($O8,$A$2:$G$18,HLOOKUP(Q$1,$B$1:$G$19,19,FALSE)+1,FALSE)-VLOOKUP($O8,$A$2:$G$18,HLOOKUP(Q$1,$B$1:$G$19,19,FALSE)+2,FALSE))&lt;0,TRUE,FALSE)
=
IF((VLOOKUP($O8,'Ergebnisse Basisszenario'!$A$2:$G$20,HLOOKUP(Q$1,'Ergebnisse Basisszenario'!$B$1:$G$21,21,FALSE)+1,FALSE)-VLOOKUP($O8,'Ergebnisse Basisszenario'!$A$2:$G$20,HLOOKUP(Q$1,'Ergebnisse Basisszenario'!$B$1:$G$21,21,FALSE)+2,FALSE))&lt;0,TRUE,FALSE),
TRUE,FALSE)</f>
        <v>1</v>
      </c>
    </row>
    <row r="9" spans="1:17" x14ac:dyDescent="0.3">
      <c r="A9" s="185" t="s">
        <v>916</v>
      </c>
      <c r="B9" s="191">
        <v>0.54997876588063888</v>
      </c>
      <c r="C9" s="191">
        <v>0.28211167118700092</v>
      </c>
      <c r="D9" s="191">
        <v>0.4427159666432493</v>
      </c>
      <c r="E9" s="191">
        <v>0.30069210920065709</v>
      </c>
      <c r="F9" s="191" t="s">
        <v>917</v>
      </c>
      <c r="G9" s="191"/>
      <c r="I9" s="185" t="s">
        <v>916</v>
      </c>
      <c r="J9" s="192">
        <f>(
VLOOKUP($I9,$A$2:$G$18,HLOOKUP(J$1,$B$1:$G$19,19,FALSE)+1,FALSE)
-
VLOOKUP($I9,'Ergebnisse Basisszenario'!$A$1:$H$21,HLOOKUP(J$1,'Ergebnisse Basisszenario'!$B$1:$G$21,21,FALSE)+1,FALSE)
)
/
VLOOKUP($I9,'Ergebnisse Basisszenario'!$A$1:$H$21,HLOOKUP(J$1,'Ergebnisse Basisszenario'!$B$1:$G$21,21,FALSE)+1,FALSE)</f>
        <v>-0.37995611244367339</v>
      </c>
      <c r="K9" s="192">
        <f>(
VLOOKUP($I9,$A$2:$G$18,HLOOKUP(K$1,$B$1:$G$19,19,FALSE)+1,FALSE)
-
VLOOKUP($I9,'Ergebnisse Basisszenario'!$A$1:$H$21,HLOOKUP(K$1,'Ergebnisse Basisszenario'!$B$1:$G$21,21,FALSE)+1,FALSE)
)
/
VLOOKUP($I9,'Ergebnisse Basisszenario'!$A$1:$H$21,HLOOKUP(K$1,'Ergebnisse Basisszenario'!$B$1:$G$21,21,FALSE)+1,FALSE)</f>
        <v>0</v>
      </c>
      <c r="L9" s="192">
        <f>(
VLOOKUP($I9,$A$2:$G$18,HLOOKUP(L$1,$B$1:$G$19,19,FALSE)+1,FALSE)
-
VLOOKUP($I9,'Ergebnisse Basisszenario'!$A$1:$H$21,HLOOKUP(L$1,'Ergebnisse Basisszenario'!$B$1:$G$21,21,FALSE)+1,FALSE)
)
/
VLOOKUP($I9,'Ergebnisse Basisszenario'!$A$1:$H$21,HLOOKUP(L$1,'Ergebnisse Basisszenario'!$B$1:$G$21,21,FALSE)+1,FALSE)</f>
        <v>-0.11717987422018195</v>
      </c>
      <c r="M9" s="192">
        <f>(
VLOOKUP($I9,$A$2:$G$18,HLOOKUP(M$1,$B$1:$G$19,19,FALSE)+1,FALSE)
-
VLOOKUP($I9,'Ergebnisse Basisszenario'!$A$1:$H$21,HLOOKUP(M$1,'Ergebnisse Basisszenario'!$B$1:$G$21,21,FALSE)+1,FALSE)
)
/
VLOOKUP($I9,'Ergebnisse Basisszenario'!$A$1:$H$21,HLOOKUP(M$1,'Ergebnisse Basisszenario'!$B$1:$G$21,21,FALSE)+1,FALSE)</f>
        <v>-3.6922253383253398E-16</v>
      </c>
      <c r="O9" s="185" t="s">
        <v>916</v>
      </c>
      <c r="P9" s="185" t="b">
        <f>IF(
IF((VLOOKUP($O9,$A$2:$G$18,HLOOKUP(P$1,$B$1:$G$19,19,FALSE)+1,FALSE)-VLOOKUP($O9,$A$2:$G$18,HLOOKUP(P$1,$B$1:$G$19,19,FALSE)+2,FALSE))&lt;0,TRUE,FALSE)
=
IF((VLOOKUP($O9,'Ergebnisse Basisszenario'!$A$2:$G$20,HLOOKUP(P$1,'Ergebnisse Basisszenario'!$B$1:$G$21,21,FALSE)+1,FALSE)-VLOOKUP($O9,'Ergebnisse Basisszenario'!$A$2:$G$20,HLOOKUP(P$1,'Ergebnisse Basisszenario'!$B$1:$G$21,21,FALSE)+2,FALSE))&lt;0,TRUE,FALSE),
TRUE,FALSE)</f>
        <v>1</v>
      </c>
      <c r="Q9" s="185" t="b">
        <f>IF(
IF((VLOOKUP($O9,$A$2:$G$18,HLOOKUP(Q$1,$B$1:$G$19,19,FALSE)+1,FALSE)-VLOOKUP($O9,$A$2:$G$18,HLOOKUP(Q$1,$B$1:$G$19,19,FALSE)+2,FALSE))&lt;0,TRUE,FALSE)
=
IF((VLOOKUP($O9,'Ergebnisse Basisszenario'!$A$2:$G$20,HLOOKUP(Q$1,'Ergebnisse Basisszenario'!$B$1:$G$21,21,FALSE)+1,FALSE)-VLOOKUP($O9,'Ergebnisse Basisszenario'!$A$2:$G$20,HLOOKUP(Q$1,'Ergebnisse Basisszenario'!$B$1:$G$21,21,FALSE)+2,FALSE))&lt;0,TRUE,FALSE),
TRUE,FALSE)</f>
        <v>1</v>
      </c>
    </row>
    <row r="10" spans="1:17" x14ac:dyDescent="0.3">
      <c r="A10" s="185" t="s">
        <v>918</v>
      </c>
      <c r="B10" s="191">
        <v>9.2624725548818645E-8</v>
      </c>
      <c r="C10" s="191">
        <v>2.525459982681596E-8</v>
      </c>
      <c r="D10" s="191">
        <v>2.807883474808627E-8</v>
      </c>
      <c r="E10" s="191">
        <v>2.3374140966321679E-8</v>
      </c>
      <c r="F10" s="191" t="s">
        <v>919</v>
      </c>
      <c r="G10" s="191"/>
      <c r="I10" s="185" t="s">
        <v>918</v>
      </c>
      <c r="J10" s="192">
        <f>(
VLOOKUP($I10,$A$2:$G$18,HLOOKUP(J$1,$B$1:$G$19,19,FALSE)+1,FALSE)
-
VLOOKUP($I10,'Ergebnisse Basisszenario'!$A$1:$H$21,HLOOKUP(J$1,'Ergebnisse Basisszenario'!$B$1:$G$21,21,FALSE)+1,FALSE)
)
/
VLOOKUP($I10,'Ergebnisse Basisszenario'!$A$1:$H$21,HLOOKUP(J$1,'Ergebnisse Basisszenario'!$B$1:$G$21,21,FALSE)+1,FALSE)</f>
        <v>-0.782309051832212</v>
      </c>
      <c r="K10" s="192">
        <f>(
VLOOKUP($I10,$A$2:$G$18,HLOOKUP(K$1,$B$1:$G$19,19,FALSE)+1,FALSE)
-
VLOOKUP($I10,'Ergebnisse Basisszenario'!$A$1:$H$21,HLOOKUP(K$1,'Ergebnisse Basisszenario'!$B$1:$G$21,21,FALSE)+1,FALSE)
)
/
VLOOKUP($I10,'Ergebnisse Basisszenario'!$A$1:$H$21,HLOOKUP(K$1,'Ergebnisse Basisszenario'!$B$1:$G$21,21,FALSE)+1,FALSE)</f>
        <v>0</v>
      </c>
      <c r="L10" s="192">
        <f>(
VLOOKUP($I10,$A$2:$G$18,HLOOKUP(L$1,$B$1:$G$19,19,FALSE)+1,FALSE)
-
VLOOKUP($I10,'Ergebnisse Basisszenario'!$A$1:$H$21,HLOOKUP(L$1,'Ergebnisse Basisszenario'!$B$1:$G$21,21,FALSE)+1,FALSE)
)
/
VLOOKUP($I10,'Ergebnisse Basisszenario'!$A$1:$H$21,HLOOKUP(L$1,'Ergebnisse Basisszenario'!$B$1:$G$21,21,FALSE)+1,FALSE)</f>
        <v>3.8918237472517818E-2</v>
      </c>
      <c r="M10" s="192">
        <f>(
VLOOKUP($I10,$A$2:$G$18,HLOOKUP(M$1,$B$1:$G$19,19,FALSE)+1,FALSE)
-
VLOOKUP($I10,'Ergebnisse Basisszenario'!$A$1:$H$21,HLOOKUP(M$1,'Ergebnisse Basisszenario'!$B$1:$G$21,21,FALSE)+1,FALSE)
)
/
VLOOKUP($I10,'Ergebnisse Basisszenario'!$A$1:$H$21,HLOOKUP(M$1,'Ergebnisse Basisszenario'!$B$1:$G$21,21,FALSE)+1,FALSE)</f>
        <v>-1.2739934312373198E-15</v>
      </c>
      <c r="O10" s="185" t="s">
        <v>918</v>
      </c>
      <c r="P10" s="185" t="b">
        <f>IF(
IF((VLOOKUP($O10,$A$2:$G$18,HLOOKUP(P$1,$B$1:$G$19,19,FALSE)+1,FALSE)-VLOOKUP($O10,$A$2:$G$18,HLOOKUP(P$1,$B$1:$G$19,19,FALSE)+2,FALSE))&lt;0,TRUE,FALSE)
=
IF((VLOOKUP($O10,'Ergebnisse Basisszenario'!$A$2:$G$20,HLOOKUP(P$1,'Ergebnisse Basisszenario'!$B$1:$G$21,21,FALSE)+1,FALSE)-VLOOKUP($O10,'Ergebnisse Basisszenario'!$A$2:$G$20,HLOOKUP(P$1,'Ergebnisse Basisszenario'!$B$1:$G$21,21,FALSE)+2,FALSE))&lt;0,TRUE,FALSE),
TRUE,FALSE)</f>
        <v>1</v>
      </c>
      <c r="Q10" s="185" t="b">
        <f>IF(
IF((VLOOKUP($O10,$A$2:$G$18,HLOOKUP(Q$1,$B$1:$G$19,19,FALSE)+1,FALSE)-VLOOKUP($O10,$A$2:$G$18,HLOOKUP(Q$1,$B$1:$G$19,19,FALSE)+2,FALSE))&lt;0,TRUE,FALSE)
=
IF((VLOOKUP($O10,'Ergebnisse Basisszenario'!$A$2:$G$20,HLOOKUP(Q$1,'Ergebnisse Basisszenario'!$B$1:$G$21,21,FALSE)+1,FALSE)-VLOOKUP($O10,'Ergebnisse Basisszenario'!$A$2:$G$20,HLOOKUP(Q$1,'Ergebnisse Basisszenario'!$B$1:$G$21,21,FALSE)+2,FALSE))&lt;0,TRUE,FALSE),
TRUE,FALSE)</f>
        <v>1</v>
      </c>
    </row>
    <row r="11" spans="1:17" x14ac:dyDescent="0.3">
      <c r="A11" s="185" t="s">
        <v>920</v>
      </c>
      <c r="B11" s="191">
        <v>1.788523911797322E-6</v>
      </c>
      <c r="C11" s="191">
        <v>4.9330147233183421E-7</v>
      </c>
      <c r="D11" s="191">
        <v>5.9252840515017646E-7</v>
      </c>
      <c r="E11" s="191">
        <v>5.0970076436931937E-7</v>
      </c>
      <c r="F11" s="191" t="s">
        <v>919</v>
      </c>
      <c r="G11" s="191"/>
      <c r="I11" s="185" t="s">
        <v>920</v>
      </c>
      <c r="J11" s="192">
        <f>(
VLOOKUP($I11,$A$2:$G$18,HLOOKUP(J$1,$B$1:$G$19,19,FALSE)+1,FALSE)
-
VLOOKUP($I11,'Ergebnisse Basisszenario'!$A$1:$H$21,HLOOKUP(J$1,'Ergebnisse Basisszenario'!$B$1:$G$21,21,FALSE)+1,FALSE)
)
/
VLOOKUP($I11,'Ergebnisse Basisszenario'!$A$1:$H$21,HLOOKUP(J$1,'Ergebnisse Basisszenario'!$B$1:$G$21,21,FALSE)+1,FALSE)</f>
        <v>-0.1768701290864873</v>
      </c>
      <c r="K11" s="192">
        <f>(
VLOOKUP($I11,$A$2:$G$18,HLOOKUP(K$1,$B$1:$G$19,19,FALSE)+1,FALSE)
-
VLOOKUP($I11,'Ergebnisse Basisszenario'!$A$1:$H$21,HLOOKUP(K$1,'Ergebnisse Basisszenario'!$B$1:$G$21,21,FALSE)+1,FALSE)
)
/
VLOOKUP($I11,'Ergebnisse Basisszenario'!$A$1:$H$21,HLOOKUP(K$1,'Ergebnisse Basisszenario'!$B$1:$G$21,21,FALSE)+1,FALSE)</f>
        <v>-2.1463369632021841E-16</v>
      </c>
      <c r="L11" s="192">
        <f>(
VLOOKUP($I11,$A$2:$G$18,HLOOKUP(L$1,$B$1:$G$19,19,FALSE)+1,FALSE)
-
VLOOKUP($I11,'Ergebnisse Basisszenario'!$A$1:$H$21,HLOOKUP(L$1,'Ergebnisse Basisszenario'!$B$1:$G$21,21,FALSE)+1,FALSE)
)
/
VLOOKUP($I11,'Ergebnisse Basisszenario'!$A$1:$H$21,HLOOKUP(L$1,'Ergebnisse Basisszenario'!$B$1:$G$21,21,FALSE)+1,FALSE)</f>
        <v>-5.934997946191041E-2</v>
      </c>
      <c r="M11" s="192">
        <f>(
VLOOKUP($I11,$A$2:$G$18,HLOOKUP(M$1,$B$1:$G$19,19,FALSE)+1,FALSE)
-
VLOOKUP($I11,'Ergebnisse Basisszenario'!$A$1:$H$21,HLOOKUP(M$1,'Ergebnisse Basisszenario'!$B$1:$G$21,21,FALSE)+1,FALSE)
)
/
VLOOKUP($I11,'Ergebnisse Basisszenario'!$A$1:$H$21,HLOOKUP(M$1,'Ergebnisse Basisszenario'!$B$1:$G$21,21,FALSE)+1,FALSE)</f>
        <v>-4.1545599225379827E-16</v>
      </c>
      <c r="O11" s="185" t="s">
        <v>920</v>
      </c>
      <c r="P11" s="185" t="b">
        <f>IF(
IF((VLOOKUP($O11,$A$2:$G$18,HLOOKUP(P$1,$B$1:$G$19,19,FALSE)+1,FALSE)-VLOOKUP($O11,$A$2:$G$18,HLOOKUP(P$1,$B$1:$G$19,19,FALSE)+2,FALSE))&lt;0,TRUE,FALSE)
=
IF((VLOOKUP($O11,'Ergebnisse Basisszenario'!$A$2:$G$20,HLOOKUP(P$1,'Ergebnisse Basisszenario'!$B$1:$G$21,21,FALSE)+1,FALSE)-VLOOKUP($O11,'Ergebnisse Basisszenario'!$A$2:$G$20,HLOOKUP(P$1,'Ergebnisse Basisszenario'!$B$1:$G$21,21,FALSE)+2,FALSE))&lt;0,TRUE,FALSE),
TRUE,FALSE)</f>
        <v>1</v>
      </c>
      <c r="Q11" s="185" t="b">
        <f>IF(
IF((VLOOKUP($O11,$A$2:$G$18,HLOOKUP(Q$1,$B$1:$G$19,19,FALSE)+1,FALSE)-VLOOKUP($O11,$A$2:$G$18,HLOOKUP(Q$1,$B$1:$G$19,19,FALSE)+2,FALSE))&lt;0,TRUE,FALSE)
=
IF((VLOOKUP($O11,'Ergebnisse Basisszenario'!$A$2:$G$20,HLOOKUP(Q$1,'Ergebnisse Basisszenario'!$B$1:$G$21,21,FALSE)+1,FALSE)-VLOOKUP($O11,'Ergebnisse Basisszenario'!$A$2:$G$20,HLOOKUP(Q$1,'Ergebnisse Basisszenario'!$B$1:$G$21,21,FALSE)+2,FALSE))&lt;0,TRUE,FALSE),
TRUE,FALSE)</f>
        <v>1</v>
      </c>
    </row>
    <row r="12" spans="1:17" x14ac:dyDescent="0.3">
      <c r="A12" s="185" t="s">
        <v>921</v>
      </c>
      <c r="B12" s="191">
        <v>4.6896415078570959</v>
      </c>
      <c r="C12" s="191">
        <v>4.4516033757563704</v>
      </c>
      <c r="D12" s="191">
        <v>5.6776325062721069</v>
      </c>
      <c r="E12" s="191">
        <v>5.0451966543540179</v>
      </c>
      <c r="F12" s="191" t="s">
        <v>922</v>
      </c>
      <c r="G12" s="191"/>
      <c r="I12" s="185" t="s">
        <v>921</v>
      </c>
      <c r="J12" s="192">
        <f>(
VLOOKUP($I12,$A$2:$G$18,HLOOKUP(J$1,$B$1:$G$19,19,FALSE)+1,FALSE)
-
VLOOKUP($I12,'Ergebnisse Basisszenario'!$A$1:$H$21,HLOOKUP(J$1,'Ergebnisse Basisszenario'!$B$1:$G$21,21,FALSE)+1,FALSE)
)
/
VLOOKUP($I12,'Ergebnisse Basisszenario'!$A$1:$H$21,HLOOKUP(J$1,'Ergebnisse Basisszenario'!$B$1:$G$21,21,FALSE)+1,FALSE)</f>
        <v>-0.23971754894848588</v>
      </c>
      <c r="K12" s="192">
        <f>(
VLOOKUP($I12,$A$2:$G$18,HLOOKUP(K$1,$B$1:$G$19,19,FALSE)+1,FALSE)
-
VLOOKUP($I12,'Ergebnisse Basisszenario'!$A$1:$H$21,HLOOKUP(K$1,'Ergebnisse Basisszenario'!$B$1:$G$21,21,FALSE)+1,FALSE)
)
/
VLOOKUP($I12,'Ergebnisse Basisszenario'!$A$1:$H$21,HLOOKUP(K$1,'Ergebnisse Basisszenario'!$B$1:$G$21,21,FALSE)+1,FALSE)</f>
        <v>-1.5761982646171142E-14</v>
      </c>
      <c r="L12" s="192">
        <f>(
VLOOKUP($I12,$A$2:$G$18,HLOOKUP(L$1,$B$1:$G$19,19,FALSE)+1,FALSE)
-
VLOOKUP($I12,'Ergebnisse Basisszenario'!$A$1:$H$21,HLOOKUP(L$1,'Ergebnisse Basisszenario'!$B$1:$G$21,21,FALSE)+1,FALSE)
)
/
VLOOKUP($I12,'Ergebnisse Basisszenario'!$A$1:$H$21,HLOOKUP(L$1,'Ergebnisse Basisszenario'!$B$1:$G$21,21,FALSE)+1,FALSE)</f>
        <v>5.3340205606317553E-2</v>
      </c>
      <c r="M12" s="192">
        <f>(
VLOOKUP($I12,$A$2:$G$18,HLOOKUP(M$1,$B$1:$G$19,19,FALSE)+1,FALSE)
-
VLOOKUP($I12,'Ergebnisse Basisszenario'!$A$1:$H$21,HLOOKUP(M$1,'Ergebnisse Basisszenario'!$B$1:$G$21,21,FALSE)+1,FALSE)
)
/
VLOOKUP($I12,'Ergebnisse Basisszenario'!$A$1:$H$21,HLOOKUP(M$1,'Ergebnisse Basisszenario'!$B$1:$G$21,21,FALSE)+1,FALSE)</f>
        <v>0</v>
      </c>
      <c r="O12" s="185" t="s">
        <v>921</v>
      </c>
      <c r="P12" s="185" t="b">
        <f>IF(
IF((VLOOKUP($O12,$A$2:$G$18,HLOOKUP(P$1,$B$1:$G$19,19,FALSE)+1,FALSE)-VLOOKUP($O12,$A$2:$G$18,HLOOKUP(P$1,$B$1:$G$19,19,FALSE)+2,FALSE))&lt;0,TRUE,FALSE)
=
IF((VLOOKUP($O12,'Ergebnisse Basisszenario'!$A$2:$G$20,HLOOKUP(P$1,'Ergebnisse Basisszenario'!$B$1:$G$21,21,FALSE)+1,FALSE)-VLOOKUP($O12,'Ergebnisse Basisszenario'!$A$2:$G$20,HLOOKUP(P$1,'Ergebnisse Basisszenario'!$B$1:$G$21,21,FALSE)+2,FALSE))&lt;0,TRUE,FALSE),
TRUE,FALSE)</f>
        <v>1</v>
      </c>
      <c r="Q12" s="185" t="b">
        <f>IF(
IF((VLOOKUP($O12,$A$2:$G$18,HLOOKUP(Q$1,$B$1:$G$19,19,FALSE)+1,FALSE)-VLOOKUP($O12,$A$2:$G$18,HLOOKUP(Q$1,$B$1:$G$19,19,FALSE)+2,FALSE))&lt;0,TRUE,FALSE)
=
IF((VLOOKUP($O12,'Ergebnisse Basisszenario'!$A$2:$G$20,HLOOKUP(Q$1,'Ergebnisse Basisszenario'!$B$1:$G$21,21,FALSE)+1,FALSE)-VLOOKUP($O12,'Ergebnisse Basisszenario'!$A$2:$G$20,HLOOKUP(Q$1,'Ergebnisse Basisszenario'!$B$1:$G$21,21,FALSE)+2,FALSE))&lt;0,TRUE,FALSE),
TRUE,FALSE)</f>
        <v>1</v>
      </c>
    </row>
    <row r="13" spans="1:17" x14ac:dyDescent="0.3">
      <c r="A13" s="185" t="s">
        <v>923</v>
      </c>
      <c r="B13" s="191">
        <v>3122.5405801985848</v>
      </c>
      <c r="C13" s="191">
        <v>144.08293864711101</v>
      </c>
      <c r="D13" s="191">
        <v>216.9014164009329</v>
      </c>
      <c r="E13" s="191">
        <v>133.32349662345891</v>
      </c>
      <c r="F13" s="191" t="s">
        <v>924</v>
      </c>
      <c r="G13" s="191"/>
      <c r="I13" s="185" t="s">
        <v>923</v>
      </c>
      <c r="J13" s="192">
        <f>(
VLOOKUP($I13,$A$2:$G$18,HLOOKUP(J$1,$B$1:$G$19,19,FALSE)+1,FALSE)
-
VLOOKUP($I13,'Ergebnisse Basisszenario'!$A$1:$H$21,HLOOKUP(J$1,'Ergebnisse Basisszenario'!$B$1:$G$21,21,FALSE)+1,FALSE)
)
/
VLOOKUP($I13,'Ergebnisse Basisszenario'!$A$1:$H$21,HLOOKUP(J$1,'Ergebnisse Basisszenario'!$B$1:$G$21,21,FALSE)+1,FALSE)</f>
        <v>-4.4786900372616206E-2</v>
      </c>
      <c r="K13" s="192">
        <f>(
VLOOKUP($I13,$A$2:$G$18,HLOOKUP(K$1,$B$1:$G$19,19,FALSE)+1,FALSE)
-
VLOOKUP($I13,'Ergebnisse Basisszenario'!$A$1:$H$21,HLOOKUP(K$1,'Ergebnisse Basisszenario'!$B$1:$G$21,21,FALSE)+1,FALSE)
)
/
VLOOKUP($I13,'Ergebnisse Basisszenario'!$A$1:$H$21,HLOOKUP(K$1,'Ergebnisse Basisszenario'!$B$1:$G$21,21,FALSE)+1,FALSE)</f>
        <v>-4.7342248342140553E-15</v>
      </c>
      <c r="L13" s="192">
        <f>(
VLOOKUP($I13,$A$2:$G$18,HLOOKUP(L$1,$B$1:$G$19,19,FALSE)+1,FALSE)
-
VLOOKUP($I13,'Ergebnisse Basisszenario'!$A$1:$H$21,HLOOKUP(L$1,'Ergebnisse Basisszenario'!$B$1:$G$21,21,FALSE)+1,FALSE)
)
/
VLOOKUP($I13,'Ergebnisse Basisszenario'!$A$1:$H$21,HLOOKUP(L$1,'Ergebnisse Basisszenario'!$B$1:$G$21,21,FALSE)+1,FALSE)</f>
        <v>7.1431621710828841E-2</v>
      </c>
      <c r="M13" s="192">
        <f>(
VLOOKUP($I13,$A$2:$G$18,HLOOKUP(M$1,$B$1:$G$19,19,FALSE)+1,FALSE)
-
VLOOKUP($I13,'Ergebnisse Basisszenario'!$A$1:$H$21,HLOOKUP(M$1,'Ergebnisse Basisszenario'!$B$1:$G$21,21,FALSE)+1,FALSE)
)
/
VLOOKUP($I13,'Ergebnisse Basisszenario'!$A$1:$H$21,HLOOKUP(M$1,'Ergebnisse Basisszenario'!$B$1:$G$21,21,FALSE)+1,FALSE)</f>
        <v>-1.1937998690491537E-14</v>
      </c>
      <c r="O13" s="185" t="s">
        <v>923</v>
      </c>
      <c r="P13" s="185" t="b">
        <f>IF(
IF((VLOOKUP($O13,$A$2:$G$18,HLOOKUP(P$1,$B$1:$G$19,19,FALSE)+1,FALSE)-VLOOKUP($O13,$A$2:$G$18,HLOOKUP(P$1,$B$1:$G$19,19,FALSE)+2,FALSE))&lt;0,TRUE,FALSE)
=
IF((VLOOKUP($O13,'Ergebnisse Basisszenario'!$A$2:$G$20,HLOOKUP(P$1,'Ergebnisse Basisszenario'!$B$1:$G$21,21,FALSE)+1,FALSE)-VLOOKUP($O13,'Ergebnisse Basisszenario'!$A$2:$G$20,HLOOKUP(P$1,'Ergebnisse Basisszenario'!$B$1:$G$21,21,FALSE)+2,FALSE))&lt;0,TRUE,FALSE),
TRUE,FALSE)</f>
        <v>1</v>
      </c>
      <c r="Q13" s="185" t="b">
        <f>IF(
IF((VLOOKUP($O13,$A$2:$G$18,HLOOKUP(Q$1,$B$1:$G$19,19,FALSE)+1,FALSE)-VLOOKUP($O13,$A$2:$G$18,HLOOKUP(Q$1,$B$1:$G$19,19,FALSE)+2,FALSE))&lt;0,TRUE,FALSE)
=
IF((VLOOKUP($O13,'Ergebnisse Basisszenario'!$A$2:$G$20,HLOOKUP(Q$1,'Ergebnisse Basisszenario'!$B$1:$G$21,21,FALSE)+1,FALSE)-VLOOKUP($O13,'Ergebnisse Basisszenario'!$A$2:$G$20,HLOOKUP(Q$1,'Ergebnisse Basisszenario'!$B$1:$G$21,21,FALSE)+2,FALSE))&lt;0,TRUE,FALSE),
TRUE,FALSE)</f>
        <v>1</v>
      </c>
    </row>
    <row r="14" spans="1:17" x14ac:dyDescent="0.3">
      <c r="A14" s="185" t="s">
        <v>925</v>
      </c>
      <c r="B14" s="191">
        <v>2.1984594787715539E-3</v>
      </c>
      <c r="C14" s="191">
        <v>3.480526125971276E-4</v>
      </c>
      <c r="D14" s="191">
        <v>3.014137637735212E-4</v>
      </c>
      <c r="E14" s="191">
        <v>3.5068917978307569E-4</v>
      </c>
      <c r="F14" s="191" t="s">
        <v>926</v>
      </c>
      <c r="G14" s="191"/>
      <c r="I14" s="185" t="s">
        <v>925</v>
      </c>
      <c r="J14" s="192">
        <f>(
VLOOKUP($I14,$A$2:$G$18,HLOOKUP(J$1,$B$1:$G$19,19,FALSE)+1,FALSE)
-
VLOOKUP($I14,'Ergebnisse Basisszenario'!$A$1:$H$21,HLOOKUP(J$1,'Ergebnisse Basisszenario'!$B$1:$G$21,21,FALSE)+1,FALSE)
)
/
VLOOKUP($I14,'Ergebnisse Basisszenario'!$A$1:$H$21,HLOOKUP(J$1,'Ergebnisse Basisszenario'!$B$1:$G$21,21,FALSE)+1,FALSE)</f>
        <v>1.5717758815359206</v>
      </c>
      <c r="K14" s="192">
        <f>(
VLOOKUP($I14,$A$2:$G$18,HLOOKUP(K$1,$B$1:$G$19,19,FALSE)+1,FALSE)
-
VLOOKUP($I14,'Ergebnisse Basisszenario'!$A$1:$H$21,HLOOKUP(K$1,'Ergebnisse Basisszenario'!$B$1:$G$21,21,FALSE)+1,FALSE)
)
/
VLOOKUP($I14,'Ergebnisse Basisszenario'!$A$1:$H$21,HLOOKUP(K$1,'Ergebnisse Basisszenario'!$B$1:$G$21,21,FALSE)+1,FALSE)</f>
        <v>-9.3451575989789125E-16</v>
      </c>
      <c r="L14" s="192">
        <f>(
VLOOKUP($I14,$A$2:$G$18,HLOOKUP(L$1,$B$1:$G$19,19,FALSE)+1,FALSE)
-
VLOOKUP($I14,'Ergebnisse Basisszenario'!$A$1:$H$21,HLOOKUP(L$1,'Ergebnisse Basisszenario'!$B$1:$G$21,21,FALSE)+1,FALSE)
)
/
VLOOKUP($I14,'Ergebnisse Basisszenario'!$A$1:$H$21,HLOOKUP(L$1,'Ergebnisse Basisszenario'!$B$1:$G$21,21,FALSE)+1,FALSE)</f>
        <v>-0.14642949354793985</v>
      </c>
      <c r="M14" s="192">
        <f>(
VLOOKUP($I14,$A$2:$G$18,HLOOKUP(M$1,$B$1:$G$19,19,FALSE)+1,FALSE)
-
VLOOKUP($I14,'Ergebnisse Basisszenario'!$A$1:$H$21,HLOOKUP(M$1,'Ergebnisse Basisszenario'!$B$1:$G$21,21,FALSE)+1,FALSE)
)
/
VLOOKUP($I14,'Ergebnisse Basisszenario'!$A$1:$H$21,HLOOKUP(M$1,'Ergebnisse Basisszenario'!$B$1:$G$21,21,FALSE)+1,FALSE)</f>
        <v>-1.3912347621340041E-15</v>
      </c>
      <c r="O14" s="185" t="s">
        <v>925</v>
      </c>
      <c r="P14" s="185" t="b">
        <f>IF(
IF((VLOOKUP($O14,$A$2:$G$18,HLOOKUP(P$1,$B$1:$G$19,19,FALSE)+1,FALSE)-VLOOKUP($O14,$A$2:$G$18,HLOOKUP(P$1,$B$1:$G$19,19,FALSE)+2,FALSE))&lt;0,TRUE,FALSE)
=
IF((VLOOKUP($O14,'Ergebnisse Basisszenario'!$A$2:$G$20,HLOOKUP(P$1,'Ergebnisse Basisszenario'!$B$1:$G$21,21,FALSE)+1,FALSE)-VLOOKUP($O14,'Ergebnisse Basisszenario'!$A$2:$G$20,HLOOKUP(P$1,'Ergebnisse Basisszenario'!$B$1:$G$21,21,FALSE)+2,FALSE))&lt;0,TRUE,FALSE),
TRUE,FALSE)</f>
        <v>1</v>
      </c>
      <c r="Q14" s="185" t="b">
        <f>IF(
IF((VLOOKUP($O14,$A$2:$G$18,HLOOKUP(Q$1,$B$1:$G$19,19,FALSE)+1,FALSE)-VLOOKUP($O14,$A$2:$G$18,HLOOKUP(Q$1,$B$1:$G$19,19,FALSE)+2,FALSE))&lt;0,TRUE,FALSE)
=
IF((VLOOKUP($O14,'Ergebnisse Basisszenario'!$A$2:$G$20,HLOOKUP(Q$1,'Ergebnisse Basisszenario'!$B$1:$G$21,21,FALSE)+1,FALSE)-VLOOKUP($O14,'Ergebnisse Basisszenario'!$A$2:$G$20,HLOOKUP(Q$1,'Ergebnisse Basisszenario'!$B$1:$G$21,21,FALSE)+2,FALSE))&lt;0,TRUE,FALSE),
TRUE,FALSE)</f>
        <v>0</v>
      </c>
    </row>
    <row r="15" spans="1:17" x14ac:dyDescent="0.3">
      <c r="A15" s="185" t="s">
        <v>927</v>
      </c>
      <c r="B15" s="191">
        <v>5.3290854168691676E-6</v>
      </c>
      <c r="C15" s="191">
        <v>4.7380706577290897E-6</v>
      </c>
      <c r="D15" s="191">
        <v>4.7353057200172877E-6</v>
      </c>
      <c r="E15" s="191">
        <v>5.101704947451649E-6</v>
      </c>
      <c r="F15" s="191" t="s">
        <v>928</v>
      </c>
      <c r="G15" s="191"/>
      <c r="I15" s="185" t="s">
        <v>927</v>
      </c>
      <c r="J15" s="192">
        <f>(
VLOOKUP($I15,$A$2:$G$18,HLOOKUP(J$1,$B$1:$G$19,19,FALSE)+1,FALSE)
-
VLOOKUP($I15,'Ergebnisse Basisszenario'!$A$1:$H$21,HLOOKUP(J$1,'Ergebnisse Basisszenario'!$B$1:$G$21,21,FALSE)+1,FALSE)
)
/
VLOOKUP($I15,'Ergebnisse Basisszenario'!$A$1:$H$21,HLOOKUP(J$1,'Ergebnisse Basisszenario'!$B$1:$G$21,21,FALSE)+1,FALSE)</f>
        <v>-0.26498420537687006</v>
      </c>
      <c r="K15" s="192">
        <f>(
VLOOKUP($I15,$A$2:$G$18,HLOOKUP(K$1,$B$1:$G$19,19,FALSE)+1,FALSE)
-
VLOOKUP($I15,'Ergebnisse Basisszenario'!$A$1:$H$21,HLOOKUP(K$1,'Ergebnisse Basisszenario'!$B$1:$G$21,21,FALSE)+1,FALSE)
)
/
VLOOKUP($I15,'Ergebnisse Basisszenario'!$A$1:$H$21,HLOOKUP(K$1,'Ergebnisse Basisszenario'!$B$1:$G$21,21,FALSE)+1,FALSE)</f>
        <v>-3.5754340044404257E-16</v>
      </c>
      <c r="L15" s="192">
        <f>(
VLOOKUP($I15,$A$2:$G$18,HLOOKUP(L$1,$B$1:$G$19,19,FALSE)+1,FALSE)
-
VLOOKUP($I15,'Ergebnisse Basisszenario'!$A$1:$H$21,HLOOKUP(L$1,'Ergebnisse Basisszenario'!$B$1:$G$21,21,FALSE)+1,FALSE)
)
/
VLOOKUP($I15,'Ergebnisse Basisszenario'!$A$1:$H$21,HLOOKUP(L$1,'Ergebnisse Basisszenario'!$B$1:$G$21,21,FALSE)+1,FALSE)</f>
        <v>9.7545673350869604E-3</v>
      </c>
      <c r="M15" s="192">
        <f>(
VLOOKUP($I15,$A$2:$G$18,HLOOKUP(M$1,$B$1:$G$19,19,FALSE)+1,FALSE)
-
VLOOKUP($I15,'Ergebnisse Basisszenario'!$A$1:$H$21,HLOOKUP(M$1,'Ergebnisse Basisszenario'!$B$1:$G$21,21,FALSE)+1,FALSE)
)
/
VLOOKUP($I15,'Ergebnisse Basisszenario'!$A$1:$H$21,HLOOKUP(M$1,'Ergebnisse Basisszenario'!$B$1:$G$21,21,FALSE)+1,FALSE)</f>
        <v>-6.6411754970455589E-16</v>
      </c>
      <c r="O15" s="185" t="s">
        <v>927</v>
      </c>
      <c r="P15" s="185" t="b">
        <f>IF(
IF((VLOOKUP($O15,$A$2:$G$18,HLOOKUP(P$1,$B$1:$G$19,19,FALSE)+1,FALSE)-VLOOKUP($O15,$A$2:$G$18,HLOOKUP(P$1,$B$1:$G$19,19,FALSE)+2,FALSE))&lt;0,TRUE,FALSE)
=
IF((VLOOKUP($O15,'Ergebnisse Basisszenario'!$A$2:$G$20,HLOOKUP(P$1,'Ergebnisse Basisszenario'!$B$1:$G$21,21,FALSE)+1,FALSE)-VLOOKUP($O15,'Ergebnisse Basisszenario'!$A$2:$G$20,HLOOKUP(P$1,'Ergebnisse Basisszenario'!$B$1:$G$21,21,FALSE)+2,FALSE))&lt;0,TRUE,FALSE),
TRUE,FALSE)</f>
        <v>1</v>
      </c>
      <c r="Q15" s="185" t="b">
        <f>IF(
IF((VLOOKUP($O15,$A$2:$G$18,HLOOKUP(Q$1,$B$1:$G$19,19,FALSE)+1,FALSE)-VLOOKUP($O15,$A$2:$G$18,HLOOKUP(Q$1,$B$1:$G$19,19,FALSE)+2,FALSE))&lt;0,TRUE,FALSE)
=
IF((VLOOKUP($O15,'Ergebnisse Basisszenario'!$A$2:$G$20,HLOOKUP(Q$1,'Ergebnisse Basisszenario'!$B$1:$G$21,21,FALSE)+1,FALSE)-VLOOKUP($O15,'Ergebnisse Basisszenario'!$A$2:$G$20,HLOOKUP(Q$1,'Ergebnisse Basisszenario'!$B$1:$G$21,21,FALSE)+2,FALSE))&lt;0,TRUE,FALSE),
TRUE,FALSE)</f>
        <v>1</v>
      </c>
    </row>
    <row r="16" spans="1:17" x14ac:dyDescent="0.3">
      <c r="A16" s="185" t="s">
        <v>929</v>
      </c>
      <c r="B16" s="191">
        <v>2.7618749967203589E-6</v>
      </c>
      <c r="C16" s="191">
        <v>9.6015961159734019E-7</v>
      </c>
      <c r="D16" s="191">
        <v>1.950310885723116E-6</v>
      </c>
      <c r="E16" s="191">
        <v>9.3746099383097361E-7</v>
      </c>
      <c r="F16" s="191" t="s">
        <v>930</v>
      </c>
      <c r="G16" s="191"/>
      <c r="I16" s="185" t="s">
        <v>929</v>
      </c>
      <c r="J16" s="192">
        <f>(
VLOOKUP($I16,$A$2:$G$18,HLOOKUP(J$1,$B$1:$G$19,19,FALSE)+1,FALSE)
-
VLOOKUP($I16,'Ergebnisse Basisszenario'!$A$1:$H$21,HLOOKUP(J$1,'Ergebnisse Basisszenario'!$B$1:$G$21,21,FALSE)+1,FALSE)
)
/
VLOOKUP($I16,'Ergebnisse Basisszenario'!$A$1:$H$21,HLOOKUP(J$1,'Ergebnisse Basisszenario'!$B$1:$G$21,21,FALSE)+1,FALSE)</f>
        <v>-0.55704615227224519</v>
      </c>
      <c r="K16" s="192">
        <f>(
VLOOKUP($I16,$A$2:$G$18,HLOOKUP(K$1,$B$1:$G$19,19,FALSE)+1,FALSE)
-
VLOOKUP($I16,'Ergebnisse Basisszenario'!$A$1:$H$21,HLOOKUP(K$1,'Ergebnisse Basisszenario'!$B$1:$G$21,21,FALSE)+1,FALSE)
)
/
VLOOKUP($I16,'Ergebnisse Basisszenario'!$A$1:$H$21,HLOOKUP(K$1,'Ergebnisse Basisszenario'!$B$1:$G$21,21,FALSE)+1,FALSE)</f>
        <v>-6.6163448531632094E-16</v>
      </c>
      <c r="L16" s="192">
        <f>(
VLOOKUP($I16,$A$2:$G$18,HLOOKUP(L$1,$B$1:$G$19,19,FALSE)+1,FALSE)
-
VLOOKUP($I16,'Ergebnisse Basisszenario'!$A$1:$H$21,HLOOKUP(L$1,'Ergebnisse Basisszenario'!$B$1:$G$21,21,FALSE)+1,FALSE)
)
/
VLOOKUP($I16,'Ergebnisse Basisszenario'!$A$1:$H$21,HLOOKUP(L$1,'Ergebnisse Basisszenario'!$B$1:$G$21,21,FALSE)+1,FALSE)</f>
        <v>-5.6461833284629795E-2</v>
      </c>
      <c r="M16" s="192">
        <f>(
VLOOKUP($I16,$A$2:$G$18,HLOOKUP(M$1,$B$1:$G$19,19,FALSE)+1,FALSE)
-
VLOOKUP($I16,'Ergebnisse Basisszenario'!$A$1:$H$21,HLOOKUP(M$1,'Ergebnisse Basisszenario'!$B$1:$G$21,21,FALSE)+1,FALSE)
)
/
VLOOKUP($I16,'Ergebnisse Basisszenario'!$A$1:$H$21,HLOOKUP(M$1,'Ergebnisse Basisszenario'!$B$1:$G$21,21,FALSE)+1,FALSE)</f>
        <v>-4.5176970179466576E-16</v>
      </c>
      <c r="O16" s="185" t="s">
        <v>929</v>
      </c>
      <c r="P16" s="185" t="b">
        <f>IF(
IF((VLOOKUP($O16,$A$2:$G$18,HLOOKUP(P$1,$B$1:$G$19,19,FALSE)+1,FALSE)-VLOOKUP($O16,$A$2:$G$18,HLOOKUP(P$1,$B$1:$G$19,19,FALSE)+2,FALSE))&lt;0,TRUE,FALSE)
=
IF((VLOOKUP($O16,'Ergebnisse Basisszenario'!$A$2:$G$20,HLOOKUP(P$1,'Ergebnisse Basisszenario'!$B$1:$G$21,21,FALSE)+1,FALSE)-VLOOKUP($O16,'Ergebnisse Basisszenario'!$A$2:$G$20,HLOOKUP(P$1,'Ergebnisse Basisszenario'!$B$1:$G$21,21,FALSE)+2,FALSE))&lt;0,TRUE,FALSE),
TRUE,FALSE)</f>
        <v>1</v>
      </c>
      <c r="Q16" s="185" t="b">
        <f>IF(
IF((VLOOKUP($O16,$A$2:$G$18,HLOOKUP(Q$1,$B$1:$G$19,19,FALSE)+1,FALSE)-VLOOKUP($O16,$A$2:$G$18,HLOOKUP(Q$1,$B$1:$G$19,19,FALSE)+2,FALSE))&lt;0,TRUE,FALSE)
=
IF((VLOOKUP($O16,'Ergebnisse Basisszenario'!$A$2:$G$20,HLOOKUP(Q$1,'Ergebnisse Basisszenario'!$B$1:$G$21,21,FALSE)+1,FALSE)-VLOOKUP($O16,'Ergebnisse Basisszenario'!$A$2:$G$20,HLOOKUP(Q$1,'Ergebnisse Basisszenario'!$B$1:$G$21,21,FALSE)+2,FALSE))&lt;0,TRUE,FALSE),
TRUE,FALSE)</f>
        <v>1</v>
      </c>
    </row>
    <row r="17" spans="1:17" x14ac:dyDescent="0.3">
      <c r="A17" s="185" t="s">
        <v>931</v>
      </c>
      <c r="B17" s="191">
        <v>0.19632732467841099</v>
      </c>
      <c r="C17" s="191">
        <v>0.10031635463626799</v>
      </c>
      <c r="D17" s="191">
        <v>0.1555832674181194</v>
      </c>
      <c r="E17" s="191">
        <v>0.1084147719420252</v>
      </c>
      <c r="F17" s="191" t="s">
        <v>932</v>
      </c>
      <c r="G17" s="191"/>
      <c r="I17" s="185" t="s">
        <v>931</v>
      </c>
      <c r="J17" s="192">
        <f>(
VLOOKUP($I17,$A$2:$G$18,HLOOKUP(J$1,$B$1:$G$19,19,FALSE)+1,FALSE)
-
VLOOKUP($I17,'Ergebnisse Basisszenario'!$A$1:$H$21,HLOOKUP(J$1,'Ergebnisse Basisszenario'!$B$1:$G$21,21,FALSE)+1,FALSE)
)
/
VLOOKUP($I17,'Ergebnisse Basisszenario'!$A$1:$H$21,HLOOKUP(J$1,'Ergebnisse Basisszenario'!$B$1:$G$21,21,FALSE)+1,FALSE)</f>
        <v>-0.44522950712204118</v>
      </c>
      <c r="K17" s="192">
        <f>(
VLOOKUP($I17,$A$2:$G$18,HLOOKUP(K$1,$B$1:$G$19,19,FALSE)+1,FALSE)
-
VLOOKUP($I17,'Ergebnisse Basisszenario'!$A$1:$H$21,HLOOKUP(K$1,'Ergebnisse Basisszenario'!$B$1:$G$21,21,FALSE)+1,FALSE)
)
/
VLOOKUP($I17,'Ergebnisse Basisszenario'!$A$1:$H$21,HLOOKUP(K$1,'Ergebnisse Basisszenario'!$B$1:$G$21,21,FALSE)+1,FALSE)</f>
        <v>0</v>
      </c>
      <c r="L17" s="192">
        <f>(
VLOOKUP($I17,$A$2:$G$18,HLOOKUP(L$1,$B$1:$G$19,19,FALSE)+1,FALSE)
-
VLOOKUP($I17,'Ergebnisse Basisszenario'!$A$1:$H$21,HLOOKUP(L$1,'Ergebnisse Basisszenario'!$B$1:$G$21,21,FALSE)+1,FALSE)
)
/
VLOOKUP($I17,'Ergebnisse Basisszenario'!$A$1:$H$21,HLOOKUP(L$1,'Ergebnisse Basisszenario'!$B$1:$G$21,21,FALSE)+1,FALSE)</f>
        <v>-0.16691016731574315</v>
      </c>
      <c r="M17" s="192">
        <f>(
VLOOKUP($I17,$A$2:$G$18,HLOOKUP(M$1,$B$1:$G$19,19,FALSE)+1,FALSE)
-
VLOOKUP($I17,'Ergebnisse Basisszenario'!$A$1:$H$21,HLOOKUP(M$1,'Ergebnisse Basisszenario'!$B$1:$G$21,21,FALSE)+1,FALSE)
)
/
VLOOKUP($I17,'Ergebnisse Basisszenario'!$A$1:$H$21,HLOOKUP(M$1,'Ergebnisse Basisszenario'!$B$1:$G$21,21,FALSE)+1,FALSE)</f>
        <v>-8.9604500304302754E-16</v>
      </c>
      <c r="O17" s="185" t="s">
        <v>931</v>
      </c>
      <c r="P17" s="185" t="b">
        <f>IF(
IF((VLOOKUP($O17,$A$2:$G$18,HLOOKUP(P$1,$B$1:$G$19,19,FALSE)+1,FALSE)-VLOOKUP($O17,$A$2:$G$18,HLOOKUP(P$1,$B$1:$G$19,19,FALSE)+2,FALSE))&lt;0,TRUE,FALSE)
=
IF((VLOOKUP($O17,'Ergebnisse Basisszenario'!$A$2:$G$20,HLOOKUP(P$1,'Ergebnisse Basisszenario'!$B$1:$G$21,21,FALSE)+1,FALSE)-VLOOKUP($O17,'Ergebnisse Basisszenario'!$A$2:$G$20,HLOOKUP(P$1,'Ergebnisse Basisszenario'!$B$1:$G$21,21,FALSE)+2,FALSE))&lt;0,TRUE,FALSE),
TRUE,FALSE)</f>
        <v>1</v>
      </c>
      <c r="Q17" s="185" t="b">
        <f>IF(
IF((VLOOKUP($O17,$A$2:$G$18,HLOOKUP(Q$1,$B$1:$G$19,19,FALSE)+1,FALSE)-VLOOKUP($O17,$A$2:$G$18,HLOOKUP(Q$1,$B$1:$G$19,19,FALSE)+2,FALSE))&lt;0,TRUE,FALSE)
=
IF((VLOOKUP($O17,'Ergebnisse Basisszenario'!$A$2:$G$20,HLOOKUP(Q$1,'Ergebnisse Basisszenario'!$B$1:$G$21,21,FALSE)+1,FALSE)-VLOOKUP($O17,'Ergebnisse Basisszenario'!$A$2:$G$20,HLOOKUP(Q$1,'Ergebnisse Basisszenario'!$B$1:$G$21,21,FALSE)+2,FALSE))&lt;0,TRUE,FALSE),
TRUE,FALSE)</f>
        <v>1</v>
      </c>
    </row>
    <row r="18" spans="1:17" x14ac:dyDescent="0.3">
      <c r="A18" s="185" t="s">
        <v>933</v>
      </c>
      <c r="B18" s="191">
        <v>20.58297824774025</v>
      </c>
      <c r="C18" s="191">
        <v>10.645409923318489</v>
      </c>
      <c r="D18" s="191">
        <v>18.436623023908659</v>
      </c>
      <c r="E18" s="191">
        <v>11.512749140594741</v>
      </c>
      <c r="F18" s="191" t="s">
        <v>934</v>
      </c>
      <c r="G18" s="191"/>
      <c r="I18" s="185" t="s">
        <v>933</v>
      </c>
      <c r="J18" s="192">
        <f>(
VLOOKUP($I18,$A$2:$G$18,HLOOKUP(J$1,$B$1:$G$19,19,FALSE)+1,FALSE)
-
VLOOKUP($I18,'Ergebnisse Basisszenario'!$A$1:$H$21,HLOOKUP(J$1,'Ergebnisse Basisszenario'!$B$1:$G$21,21,FALSE)+1,FALSE)
)
/
VLOOKUP($I18,'Ergebnisse Basisszenario'!$A$1:$H$21,HLOOKUP(J$1,'Ergebnisse Basisszenario'!$B$1:$G$21,21,FALSE)+1,FALSE)</f>
        <v>-0.47358518670629124</v>
      </c>
      <c r="K18" s="192">
        <f>(
VLOOKUP($I18,$A$2:$G$18,HLOOKUP(K$1,$B$1:$G$19,19,FALSE)+1,FALSE)
-
VLOOKUP($I18,'Ergebnisse Basisszenario'!$A$1:$H$21,HLOOKUP(K$1,'Ergebnisse Basisszenario'!$B$1:$G$21,21,FALSE)+1,FALSE)
)
/
VLOOKUP($I18,'Ergebnisse Basisszenario'!$A$1:$H$21,HLOOKUP(K$1,'Ergebnisse Basisszenario'!$B$1:$G$21,21,FALSE)+1,FALSE)</f>
        <v>-1.0011959251146465E-15</v>
      </c>
      <c r="L18" s="192">
        <f>(
VLOOKUP($I18,$A$2:$G$18,HLOOKUP(L$1,$B$1:$G$19,19,FALSE)+1,FALSE)
-
VLOOKUP($I18,'Ergebnisse Basisszenario'!$A$1:$H$21,HLOOKUP(L$1,'Ergebnisse Basisszenario'!$B$1:$G$21,21,FALSE)+1,FALSE)
)
/
VLOOKUP($I18,'Ergebnisse Basisszenario'!$A$1:$H$21,HLOOKUP(L$1,'Ergebnisse Basisszenario'!$B$1:$G$21,21,FALSE)+1,FALSE)</f>
        <v>-0.17315512435920366</v>
      </c>
      <c r="M18" s="192">
        <f>(
VLOOKUP($I18,$A$2:$G$18,HLOOKUP(M$1,$B$1:$G$19,19,FALSE)+1,FALSE)
-
VLOOKUP($I18,'Ergebnisse Basisszenario'!$A$1:$H$21,HLOOKUP(M$1,'Ergebnisse Basisszenario'!$B$1:$G$21,21,FALSE)+1,FALSE)
)
/
VLOOKUP($I18,'Ergebnisse Basisszenario'!$A$1:$H$21,HLOOKUP(M$1,'Ergebnisse Basisszenario'!$B$1:$G$21,21,FALSE)+1,FALSE)</f>
        <v>-7.7147378862651211E-16</v>
      </c>
      <c r="O18" s="185" t="s">
        <v>933</v>
      </c>
      <c r="P18" s="185" t="b">
        <f>IF(
IF((VLOOKUP($O18,$A$2:$G$18,HLOOKUP(P$1,$B$1:$G$19,19,FALSE)+1,FALSE)-VLOOKUP($O18,$A$2:$G$18,HLOOKUP(P$1,$B$1:$G$19,19,FALSE)+2,FALSE))&lt;0,TRUE,FALSE)
=
IF((VLOOKUP($O18,'Ergebnisse Basisszenario'!$A$2:$G$20,HLOOKUP(P$1,'Ergebnisse Basisszenario'!$B$1:$G$21,21,FALSE)+1,FALSE)-VLOOKUP($O18,'Ergebnisse Basisszenario'!$A$2:$G$20,HLOOKUP(P$1,'Ergebnisse Basisszenario'!$B$1:$G$21,21,FALSE)+2,FALSE))&lt;0,TRUE,FALSE),
TRUE,FALSE)</f>
        <v>1</v>
      </c>
      <c r="Q18" s="185" t="b">
        <f>IF(
IF((VLOOKUP($O18,$A$2:$G$18,HLOOKUP(Q$1,$B$1:$G$19,19,FALSE)+1,FALSE)-VLOOKUP($O18,$A$2:$G$18,HLOOKUP(Q$1,$B$1:$G$19,19,FALSE)+2,FALSE))&lt;0,TRUE,FALSE)
=
IF((VLOOKUP($O18,'Ergebnisse Basisszenario'!$A$2:$G$20,HLOOKUP(Q$1,'Ergebnisse Basisszenario'!$B$1:$G$21,21,FALSE)+1,FALSE)-VLOOKUP($O18,'Ergebnisse Basisszenario'!$A$2:$G$20,HLOOKUP(Q$1,'Ergebnisse Basisszenario'!$B$1:$G$21,21,FALSE)+2,FALSE))&lt;0,TRUE,FALSE),
TRUE,FALSE)</f>
        <v>1</v>
      </c>
    </row>
    <row r="19" spans="1:17" x14ac:dyDescent="0.3">
      <c r="B19" s="185">
        <v>1</v>
      </c>
      <c r="C19" s="185">
        <v>2</v>
      </c>
      <c r="D19" s="185">
        <v>3</v>
      </c>
      <c r="E19" s="185">
        <v>4</v>
      </c>
    </row>
    <row r="21" spans="1:17" x14ac:dyDescent="0.3">
      <c r="A21" s="186" t="s">
        <v>938</v>
      </c>
      <c r="B21" s="247" cm="1">
        <f t="array" ref="B21">SUMPRODUCT((B2:B18&lt;C2:C18)*1)</f>
        <v>1</v>
      </c>
      <c r="C21" s="247"/>
      <c r="D21" s="247" cm="1">
        <f t="array" ref="D21">SUMPRODUCT((D2:D18&lt;E2:E18)*1)</f>
        <v>3</v>
      </c>
      <c r="E21" s="247"/>
    </row>
    <row r="22" spans="1:17" x14ac:dyDescent="0.3">
      <c r="A22" s="208" t="s">
        <v>1000</v>
      </c>
    </row>
    <row r="23" spans="1:17" x14ac:dyDescent="0.3">
      <c r="A23" s="207" t="s">
        <v>903</v>
      </c>
    </row>
    <row r="24" spans="1:17" x14ac:dyDescent="0.3">
      <c r="A24" s="186"/>
      <c r="B24" s="247" t="s">
        <v>898</v>
      </c>
      <c r="C24" s="247"/>
      <c r="D24" s="247" t="s">
        <v>899</v>
      </c>
      <c r="E24" s="247"/>
    </row>
    <row r="25" spans="1:17" x14ac:dyDescent="0.3">
      <c r="B25" s="185" t="s">
        <v>660</v>
      </c>
      <c r="C25" s="185" t="s">
        <v>669</v>
      </c>
      <c r="D25" s="185" t="s">
        <v>660</v>
      </c>
      <c r="E25" s="185" t="s">
        <v>669</v>
      </c>
    </row>
    <row r="26" spans="1:17" x14ac:dyDescent="0.3">
      <c r="A26" s="185" t="s">
        <v>939</v>
      </c>
      <c r="B26" s="188">
        <f>VLOOKUP($A$23,$A$2:$G$18,2,FALSE)</f>
        <v>56.714944857550599</v>
      </c>
      <c r="C26" s="188">
        <f>VLOOKUP($A$23,$A$2:$G$18,3,FALSE)</f>
        <v>51.451796087851058</v>
      </c>
      <c r="D26" s="188">
        <f>VLOOKUP($A$23,$A$2:$G$18,4,FALSE)</f>
        <v>92.10207439347333</v>
      </c>
      <c r="E26" s="188">
        <f>VLOOKUP($A$23,$A$2:$G$18,5,FALSE)</f>
        <v>60.622517652332903</v>
      </c>
    </row>
    <row r="27" spans="1:17" x14ac:dyDescent="0.3">
      <c r="A27" s="185" t="s">
        <v>940</v>
      </c>
      <c r="B27" s="188">
        <f>VLOOKUP($A$23,'Ergebnisse Basisszenario'!$A$2:$G$20,2,FALSE)</f>
        <v>94.428134249607126</v>
      </c>
      <c r="C27" s="188">
        <f>VLOOKUP($A$23,'Ergebnisse Basisszenario'!$A$2:$G$20,3,FALSE)</f>
        <v>51.451796087851058</v>
      </c>
      <c r="D27" s="188">
        <f>VLOOKUP($A$23,'Ergebnisse Basisszenario'!$A$2:$G$20,4,FALSE)</f>
        <v>100.959898345727</v>
      </c>
      <c r="E27" s="188">
        <f>VLOOKUP($A$23,'Ergebnisse Basisszenario'!$A$2:$G$20,5,FALSE)</f>
        <v>60.622517652332903</v>
      </c>
    </row>
    <row r="28" spans="1:17" x14ac:dyDescent="0.3">
      <c r="A28" s="185" t="s">
        <v>941</v>
      </c>
      <c r="B28" s="185">
        <f>B26-B27</f>
        <v>-37.713189392056528</v>
      </c>
      <c r="C28" s="185">
        <f t="shared" ref="C28:E28" si="0">C26-C27</f>
        <v>0</v>
      </c>
      <c r="D28" s="185">
        <f t="shared" si="0"/>
        <v>-8.8578239522536677</v>
      </c>
      <c r="E28" s="185">
        <f t="shared" si="0"/>
        <v>0</v>
      </c>
    </row>
    <row r="29" spans="1:17" x14ac:dyDescent="0.3">
      <c r="A29" s="185" t="s">
        <v>942</v>
      </c>
      <c r="B29" s="185">
        <f>IF(B28&gt;0,B28,0)</f>
        <v>0</v>
      </c>
      <c r="C29" s="185">
        <f t="shared" ref="C29:E29" si="1">IF(C28&gt;0,C28,0)</f>
        <v>0</v>
      </c>
      <c r="D29" s="185">
        <f t="shared" si="1"/>
        <v>0</v>
      </c>
      <c r="E29" s="185">
        <f t="shared" si="1"/>
        <v>0</v>
      </c>
    </row>
    <row r="30" spans="1:17" x14ac:dyDescent="0.3">
      <c r="A30" s="185" t="s">
        <v>943</v>
      </c>
      <c r="B30" s="185">
        <f>IF(B28&lt;0,B28,0)*(-1)</f>
        <v>37.713189392056528</v>
      </c>
      <c r="C30" s="185">
        <f t="shared" ref="C30:E30" si="2">IF(C28&lt;0,C28,0)*(-1)</f>
        <v>0</v>
      </c>
      <c r="D30" s="185">
        <f t="shared" si="2"/>
        <v>8.8578239522536677</v>
      </c>
      <c r="E30" s="185">
        <f t="shared" si="2"/>
        <v>0</v>
      </c>
    </row>
    <row r="31" spans="1:17" x14ac:dyDescent="0.3">
      <c r="A31" s="185" t="s">
        <v>944</v>
      </c>
      <c r="B31" s="185">
        <f>IF(B26&lt;B27,B26,B27)</f>
        <v>56.714944857550599</v>
      </c>
      <c r="C31" s="185">
        <f t="shared" ref="C31:E31" si="3">IF(C26&lt;C27,C26,C27)</f>
        <v>51.451796087851058</v>
      </c>
      <c r="D31" s="185">
        <f t="shared" si="3"/>
        <v>92.10207439347333</v>
      </c>
      <c r="E31" s="185">
        <f t="shared" si="3"/>
        <v>60.622517652332903</v>
      </c>
    </row>
    <row r="32" spans="1:17" x14ac:dyDescent="0.3">
      <c r="A32" s="185" t="s">
        <v>945</v>
      </c>
      <c r="B32" s="201">
        <f>B28/B27</f>
        <v>-0.3993850952552675</v>
      </c>
      <c r="C32" s="201">
        <f t="shared" ref="C32:E32" si="4">C28/C27</f>
        <v>0</v>
      </c>
      <c r="D32" s="201">
        <f t="shared" si="4"/>
        <v>-8.7736062509898155E-2</v>
      </c>
      <c r="E32" s="201">
        <f t="shared" si="4"/>
        <v>0</v>
      </c>
    </row>
    <row r="33" spans="1:5" x14ac:dyDescent="0.3">
      <c r="A33" s="185" t="s">
        <v>946</v>
      </c>
      <c r="B33" s="188">
        <f>SUM(B29:B31)+SUM(B29:B31)*0.05</f>
        <v>99.149540962087485</v>
      </c>
      <c r="C33" s="188">
        <f t="shared" ref="C33:E33" si="5">SUM(C29:C31)+SUM(C29:C31)*0.05</f>
        <v>54.024385892243615</v>
      </c>
      <c r="D33" s="188">
        <f t="shared" si="5"/>
        <v>106.00789326301334</v>
      </c>
      <c r="E33" s="188">
        <f t="shared" si="5"/>
        <v>63.653643534949545</v>
      </c>
    </row>
  </sheetData>
  <mergeCells count="4">
    <mergeCell ref="B21:C21"/>
    <mergeCell ref="D21:E21"/>
    <mergeCell ref="B24:C24"/>
    <mergeCell ref="D24:E24"/>
  </mergeCells>
  <conditionalFormatting sqref="B2:C2">
    <cfRule type="colorScale" priority="53">
      <colorScale>
        <cfvo type="min"/>
        <cfvo type="percentile" val="50"/>
        <cfvo type="max"/>
        <color rgb="FF63BE7B"/>
        <color rgb="FFFFEB84"/>
        <color rgb="FFF8696B"/>
      </colorScale>
    </cfRule>
  </conditionalFormatting>
  <conditionalFormatting sqref="B3:C3">
    <cfRule type="colorScale" priority="52">
      <colorScale>
        <cfvo type="min"/>
        <cfvo type="percentile" val="50"/>
        <cfvo type="max"/>
        <color rgb="FF63BE7B"/>
        <color rgb="FFFFEB84"/>
        <color rgb="FFF8696B"/>
      </colorScale>
    </cfRule>
  </conditionalFormatting>
  <conditionalFormatting sqref="B4:C4">
    <cfRule type="colorScale" priority="51">
      <colorScale>
        <cfvo type="min"/>
        <cfvo type="percentile" val="50"/>
        <cfvo type="max"/>
        <color rgb="FF63BE7B"/>
        <color rgb="FFFFEB84"/>
        <color rgb="FFF8696B"/>
      </colorScale>
    </cfRule>
  </conditionalFormatting>
  <conditionalFormatting sqref="B5:C5">
    <cfRule type="colorScale" priority="50">
      <colorScale>
        <cfvo type="min"/>
        <cfvo type="percentile" val="50"/>
        <cfvo type="max"/>
        <color rgb="FF63BE7B"/>
        <color rgb="FFFFEB84"/>
        <color rgb="FFF8696B"/>
      </colorScale>
    </cfRule>
  </conditionalFormatting>
  <conditionalFormatting sqref="B6:C6">
    <cfRule type="colorScale" priority="49">
      <colorScale>
        <cfvo type="min"/>
        <cfvo type="percentile" val="50"/>
        <cfvo type="max"/>
        <color rgb="FF63BE7B"/>
        <color rgb="FFFFEB84"/>
        <color rgb="FFF8696B"/>
      </colorScale>
    </cfRule>
  </conditionalFormatting>
  <conditionalFormatting sqref="B7:C7">
    <cfRule type="colorScale" priority="48">
      <colorScale>
        <cfvo type="min"/>
        <cfvo type="percentile" val="50"/>
        <cfvo type="max"/>
        <color rgb="FF63BE7B"/>
        <color rgb="FFFFEB84"/>
        <color rgb="FFF8696B"/>
      </colorScale>
    </cfRule>
  </conditionalFormatting>
  <conditionalFormatting sqref="B8:C8">
    <cfRule type="colorScale" priority="47">
      <colorScale>
        <cfvo type="min"/>
        <cfvo type="percentile" val="50"/>
        <cfvo type="max"/>
        <color rgb="FF63BE7B"/>
        <color rgb="FFFFEB84"/>
        <color rgb="FFF8696B"/>
      </colorScale>
    </cfRule>
  </conditionalFormatting>
  <conditionalFormatting sqref="B9:C9">
    <cfRule type="colorScale" priority="46">
      <colorScale>
        <cfvo type="min"/>
        <cfvo type="percentile" val="50"/>
        <cfvo type="max"/>
        <color rgb="FF63BE7B"/>
        <color rgb="FFFFEB84"/>
        <color rgb="FFF8696B"/>
      </colorScale>
    </cfRule>
  </conditionalFormatting>
  <conditionalFormatting sqref="B10:C10">
    <cfRule type="colorScale" priority="45">
      <colorScale>
        <cfvo type="min"/>
        <cfvo type="percentile" val="50"/>
        <cfvo type="max"/>
        <color rgb="FF63BE7B"/>
        <color rgb="FFFFEB84"/>
        <color rgb="FFF8696B"/>
      </colorScale>
    </cfRule>
  </conditionalFormatting>
  <conditionalFormatting sqref="B11:C11">
    <cfRule type="colorScale" priority="44">
      <colorScale>
        <cfvo type="min"/>
        <cfvo type="percentile" val="50"/>
        <cfvo type="max"/>
        <color rgb="FF63BE7B"/>
        <color rgb="FFFFEB84"/>
        <color rgb="FFF8696B"/>
      </colorScale>
    </cfRule>
  </conditionalFormatting>
  <conditionalFormatting sqref="B12:C12">
    <cfRule type="colorScale" priority="43">
      <colorScale>
        <cfvo type="min"/>
        <cfvo type="percentile" val="50"/>
        <cfvo type="max"/>
        <color rgb="FF63BE7B"/>
        <color rgb="FFFFEB84"/>
        <color rgb="FFF8696B"/>
      </colorScale>
    </cfRule>
  </conditionalFormatting>
  <conditionalFormatting sqref="B13:C13">
    <cfRule type="colorScale" priority="42">
      <colorScale>
        <cfvo type="min"/>
        <cfvo type="percentile" val="50"/>
        <cfvo type="max"/>
        <color rgb="FF63BE7B"/>
        <color rgb="FFFFEB84"/>
        <color rgb="FFF8696B"/>
      </colorScale>
    </cfRule>
  </conditionalFormatting>
  <conditionalFormatting sqref="B14:C14">
    <cfRule type="colorScale" priority="41">
      <colorScale>
        <cfvo type="min"/>
        <cfvo type="percentile" val="50"/>
        <cfvo type="max"/>
        <color rgb="FF63BE7B"/>
        <color rgb="FFFFEB84"/>
        <color rgb="FFF8696B"/>
      </colorScale>
    </cfRule>
  </conditionalFormatting>
  <conditionalFormatting sqref="B15:C15">
    <cfRule type="colorScale" priority="40">
      <colorScale>
        <cfvo type="min"/>
        <cfvo type="percentile" val="50"/>
        <cfvo type="max"/>
        <color rgb="FF63BE7B"/>
        <color rgb="FFFFEB84"/>
        <color rgb="FFF8696B"/>
      </colorScale>
    </cfRule>
  </conditionalFormatting>
  <conditionalFormatting sqref="B16:C16">
    <cfRule type="colorScale" priority="39">
      <colorScale>
        <cfvo type="min"/>
        <cfvo type="percentile" val="50"/>
        <cfvo type="max"/>
        <color rgb="FF63BE7B"/>
        <color rgb="FFFFEB84"/>
        <color rgb="FFF8696B"/>
      </colorScale>
    </cfRule>
  </conditionalFormatting>
  <conditionalFormatting sqref="B17:C17">
    <cfRule type="colorScale" priority="38">
      <colorScale>
        <cfvo type="min"/>
        <cfvo type="percentile" val="50"/>
        <cfvo type="max"/>
        <color rgb="FF63BE7B"/>
        <color rgb="FFFFEB84"/>
        <color rgb="FFF8696B"/>
      </colorScale>
    </cfRule>
  </conditionalFormatting>
  <conditionalFormatting sqref="B18:C18">
    <cfRule type="colorScale" priority="37">
      <colorScale>
        <cfvo type="min"/>
        <cfvo type="percentile" val="50"/>
        <cfvo type="max"/>
        <color rgb="FF63BE7B"/>
        <color rgb="FFFFEB84"/>
        <color rgb="FFF8696B"/>
      </colorScale>
    </cfRule>
  </conditionalFormatting>
  <conditionalFormatting sqref="D2:E2">
    <cfRule type="colorScale" priority="36">
      <colorScale>
        <cfvo type="min"/>
        <cfvo type="percentile" val="50"/>
        <cfvo type="max"/>
        <color rgb="FF63BE7B"/>
        <color rgb="FFFFEB84"/>
        <color rgb="FFF8696B"/>
      </colorScale>
    </cfRule>
  </conditionalFormatting>
  <conditionalFormatting sqref="D3:E3">
    <cfRule type="colorScale" priority="35">
      <colorScale>
        <cfvo type="min"/>
        <cfvo type="percentile" val="50"/>
        <cfvo type="max"/>
        <color rgb="FF63BE7B"/>
        <color rgb="FFFFEB84"/>
        <color rgb="FFF8696B"/>
      </colorScale>
    </cfRule>
  </conditionalFormatting>
  <conditionalFormatting sqref="D4:E4">
    <cfRule type="colorScale" priority="34">
      <colorScale>
        <cfvo type="min"/>
        <cfvo type="percentile" val="50"/>
        <cfvo type="max"/>
        <color rgb="FF63BE7B"/>
        <color rgb="FFFFEB84"/>
        <color rgb="FFF8696B"/>
      </colorScale>
    </cfRule>
  </conditionalFormatting>
  <conditionalFormatting sqref="D5:E5">
    <cfRule type="colorScale" priority="33">
      <colorScale>
        <cfvo type="min"/>
        <cfvo type="percentile" val="50"/>
        <cfvo type="max"/>
        <color rgb="FF63BE7B"/>
        <color rgb="FFFFEB84"/>
        <color rgb="FFF8696B"/>
      </colorScale>
    </cfRule>
  </conditionalFormatting>
  <conditionalFormatting sqref="D6:E6">
    <cfRule type="colorScale" priority="32">
      <colorScale>
        <cfvo type="min"/>
        <cfvo type="percentile" val="50"/>
        <cfvo type="max"/>
        <color rgb="FF63BE7B"/>
        <color rgb="FFFFEB84"/>
        <color rgb="FFF8696B"/>
      </colorScale>
    </cfRule>
  </conditionalFormatting>
  <conditionalFormatting sqref="D7:E7">
    <cfRule type="colorScale" priority="31">
      <colorScale>
        <cfvo type="min"/>
        <cfvo type="percentile" val="50"/>
        <cfvo type="max"/>
        <color rgb="FF63BE7B"/>
        <color rgb="FFFFEB84"/>
        <color rgb="FFF8696B"/>
      </colorScale>
    </cfRule>
  </conditionalFormatting>
  <conditionalFormatting sqref="D8:E8">
    <cfRule type="colorScale" priority="30">
      <colorScale>
        <cfvo type="min"/>
        <cfvo type="percentile" val="50"/>
        <cfvo type="max"/>
        <color rgb="FF63BE7B"/>
        <color rgb="FFFFEB84"/>
        <color rgb="FFF8696B"/>
      </colorScale>
    </cfRule>
  </conditionalFormatting>
  <conditionalFormatting sqref="D9:E9">
    <cfRule type="colorScale" priority="29">
      <colorScale>
        <cfvo type="min"/>
        <cfvo type="percentile" val="50"/>
        <cfvo type="max"/>
        <color rgb="FF63BE7B"/>
        <color rgb="FFFFEB84"/>
        <color rgb="FFF8696B"/>
      </colorScale>
    </cfRule>
  </conditionalFormatting>
  <conditionalFormatting sqref="D10:E10">
    <cfRule type="colorScale" priority="28">
      <colorScale>
        <cfvo type="min"/>
        <cfvo type="percentile" val="50"/>
        <cfvo type="max"/>
        <color rgb="FF63BE7B"/>
        <color rgb="FFFFEB84"/>
        <color rgb="FFF8696B"/>
      </colorScale>
    </cfRule>
  </conditionalFormatting>
  <conditionalFormatting sqref="D11:E11">
    <cfRule type="colorScale" priority="27">
      <colorScale>
        <cfvo type="min"/>
        <cfvo type="percentile" val="50"/>
        <cfvo type="max"/>
        <color rgb="FF63BE7B"/>
        <color rgb="FFFFEB84"/>
        <color rgb="FFF8696B"/>
      </colorScale>
    </cfRule>
  </conditionalFormatting>
  <conditionalFormatting sqref="D12:E12">
    <cfRule type="colorScale" priority="26">
      <colorScale>
        <cfvo type="min"/>
        <cfvo type="percentile" val="50"/>
        <cfvo type="max"/>
        <color rgb="FF63BE7B"/>
        <color rgb="FFFFEB84"/>
        <color rgb="FFF8696B"/>
      </colorScale>
    </cfRule>
  </conditionalFormatting>
  <conditionalFormatting sqref="D13:E13">
    <cfRule type="colorScale" priority="25">
      <colorScale>
        <cfvo type="min"/>
        <cfvo type="percentile" val="50"/>
        <cfvo type="max"/>
        <color rgb="FF63BE7B"/>
        <color rgb="FFFFEB84"/>
        <color rgb="FFF8696B"/>
      </colorScale>
    </cfRule>
  </conditionalFormatting>
  <conditionalFormatting sqref="D14:E14">
    <cfRule type="colorScale" priority="24">
      <colorScale>
        <cfvo type="min"/>
        <cfvo type="percentile" val="50"/>
        <cfvo type="max"/>
        <color rgb="FF63BE7B"/>
        <color rgb="FFFFEB84"/>
        <color rgb="FFF8696B"/>
      </colorScale>
    </cfRule>
  </conditionalFormatting>
  <conditionalFormatting sqref="D15:E15">
    <cfRule type="colorScale" priority="23">
      <colorScale>
        <cfvo type="min"/>
        <cfvo type="percentile" val="50"/>
        <cfvo type="max"/>
        <color rgb="FF63BE7B"/>
        <color rgb="FFFFEB84"/>
        <color rgb="FFF8696B"/>
      </colorScale>
    </cfRule>
  </conditionalFormatting>
  <conditionalFormatting sqref="D16:E16">
    <cfRule type="colorScale" priority="22">
      <colorScale>
        <cfvo type="min"/>
        <cfvo type="percentile" val="50"/>
        <cfvo type="max"/>
        <color rgb="FF63BE7B"/>
        <color rgb="FFFFEB84"/>
        <color rgb="FFF8696B"/>
      </colorScale>
    </cfRule>
  </conditionalFormatting>
  <conditionalFormatting sqref="D17:E17">
    <cfRule type="colorScale" priority="21">
      <colorScale>
        <cfvo type="min"/>
        <cfvo type="percentile" val="50"/>
        <cfvo type="max"/>
        <color rgb="FF63BE7B"/>
        <color rgb="FFFFEB84"/>
        <color rgb="FFF8696B"/>
      </colorScale>
    </cfRule>
  </conditionalFormatting>
  <conditionalFormatting sqref="D18:E18">
    <cfRule type="colorScale" priority="20">
      <colorScale>
        <cfvo type="min"/>
        <cfvo type="percentile" val="50"/>
        <cfvo type="max"/>
        <color rgb="FF63BE7B"/>
        <color rgb="FFFFEB84"/>
        <color rgb="FFF8696B"/>
      </colorScale>
    </cfRule>
  </conditionalFormatting>
  <conditionalFormatting sqref="F2:G2">
    <cfRule type="colorScale" priority="19">
      <colorScale>
        <cfvo type="min"/>
        <cfvo type="percentile" val="50"/>
        <cfvo type="max"/>
        <color rgb="FF63BE7B"/>
        <color rgb="FFFFEB84"/>
        <color rgb="FFF8696B"/>
      </colorScale>
    </cfRule>
  </conditionalFormatting>
  <conditionalFormatting sqref="F3:G3">
    <cfRule type="colorScale" priority="18">
      <colorScale>
        <cfvo type="min"/>
        <cfvo type="percentile" val="50"/>
        <cfvo type="max"/>
        <color rgb="FF63BE7B"/>
        <color rgb="FFFFEB84"/>
        <color rgb="FFF8696B"/>
      </colorScale>
    </cfRule>
  </conditionalFormatting>
  <conditionalFormatting sqref="F4:G4">
    <cfRule type="colorScale" priority="17">
      <colorScale>
        <cfvo type="min"/>
        <cfvo type="percentile" val="50"/>
        <cfvo type="max"/>
        <color rgb="FF63BE7B"/>
        <color rgb="FFFFEB84"/>
        <color rgb="FFF8696B"/>
      </colorScale>
    </cfRule>
  </conditionalFormatting>
  <conditionalFormatting sqref="F5:G5">
    <cfRule type="colorScale" priority="16">
      <colorScale>
        <cfvo type="min"/>
        <cfvo type="percentile" val="50"/>
        <cfvo type="max"/>
        <color rgb="FF63BE7B"/>
        <color rgb="FFFFEB84"/>
        <color rgb="FFF8696B"/>
      </colorScale>
    </cfRule>
  </conditionalFormatting>
  <conditionalFormatting sqref="F6:G6">
    <cfRule type="colorScale" priority="15">
      <colorScale>
        <cfvo type="min"/>
        <cfvo type="percentile" val="50"/>
        <cfvo type="max"/>
        <color rgb="FF63BE7B"/>
        <color rgb="FFFFEB84"/>
        <color rgb="FFF8696B"/>
      </colorScale>
    </cfRule>
  </conditionalFormatting>
  <conditionalFormatting sqref="F7:G7">
    <cfRule type="colorScale" priority="14">
      <colorScale>
        <cfvo type="min"/>
        <cfvo type="percentile" val="50"/>
        <cfvo type="max"/>
        <color rgb="FF63BE7B"/>
        <color rgb="FFFFEB84"/>
        <color rgb="FFF8696B"/>
      </colorScale>
    </cfRule>
  </conditionalFormatting>
  <conditionalFormatting sqref="F8:G8">
    <cfRule type="colorScale" priority="13">
      <colorScale>
        <cfvo type="min"/>
        <cfvo type="percentile" val="50"/>
        <cfvo type="max"/>
        <color rgb="FF63BE7B"/>
        <color rgb="FFFFEB84"/>
        <color rgb="FFF8696B"/>
      </colorScale>
    </cfRule>
  </conditionalFormatting>
  <conditionalFormatting sqref="F9:G9">
    <cfRule type="colorScale" priority="12">
      <colorScale>
        <cfvo type="min"/>
        <cfvo type="percentile" val="50"/>
        <cfvo type="max"/>
        <color rgb="FF63BE7B"/>
        <color rgb="FFFFEB84"/>
        <color rgb="FFF8696B"/>
      </colorScale>
    </cfRule>
  </conditionalFormatting>
  <conditionalFormatting sqref="F10:G10">
    <cfRule type="colorScale" priority="11">
      <colorScale>
        <cfvo type="min"/>
        <cfvo type="percentile" val="50"/>
        <cfvo type="max"/>
        <color rgb="FF63BE7B"/>
        <color rgb="FFFFEB84"/>
        <color rgb="FFF8696B"/>
      </colorScale>
    </cfRule>
  </conditionalFormatting>
  <conditionalFormatting sqref="F11:G11">
    <cfRule type="colorScale" priority="10">
      <colorScale>
        <cfvo type="min"/>
        <cfvo type="percentile" val="50"/>
        <cfvo type="max"/>
        <color rgb="FF63BE7B"/>
        <color rgb="FFFFEB84"/>
        <color rgb="FFF8696B"/>
      </colorScale>
    </cfRule>
  </conditionalFormatting>
  <conditionalFormatting sqref="F12:G12">
    <cfRule type="colorScale" priority="9">
      <colorScale>
        <cfvo type="min"/>
        <cfvo type="percentile" val="50"/>
        <cfvo type="max"/>
        <color rgb="FF63BE7B"/>
        <color rgb="FFFFEB84"/>
        <color rgb="FFF8696B"/>
      </colorScale>
    </cfRule>
  </conditionalFormatting>
  <conditionalFormatting sqref="F13:G13">
    <cfRule type="colorScale" priority="8">
      <colorScale>
        <cfvo type="min"/>
        <cfvo type="percentile" val="50"/>
        <cfvo type="max"/>
        <color rgb="FF63BE7B"/>
        <color rgb="FFFFEB84"/>
        <color rgb="FFF8696B"/>
      </colorScale>
    </cfRule>
  </conditionalFormatting>
  <conditionalFormatting sqref="F14:G14">
    <cfRule type="colorScale" priority="7">
      <colorScale>
        <cfvo type="min"/>
        <cfvo type="percentile" val="50"/>
        <cfvo type="max"/>
        <color rgb="FF63BE7B"/>
        <color rgb="FFFFEB84"/>
        <color rgb="FFF8696B"/>
      </colorScale>
    </cfRule>
  </conditionalFormatting>
  <conditionalFormatting sqref="F15:G15">
    <cfRule type="colorScale" priority="6">
      <colorScale>
        <cfvo type="min"/>
        <cfvo type="percentile" val="50"/>
        <cfvo type="max"/>
        <color rgb="FF63BE7B"/>
        <color rgb="FFFFEB84"/>
        <color rgb="FFF8696B"/>
      </colorScale>
    </cfRule>
  </conditionalFormatting>
  <conditionalFormatting sqref="F16:G16">
    <cfRule type="colorScale" priority="5">
      <colorScale>
        <cfvo type="min"/>
        <cfvo type="percentile" val="50"/>
        <cfvo type="max"/>
        <color rgb="FF63BE7B"/>
        <color rgb="FFFFEB84"/>
        <color rgb="FFF8696B"/>
      </colorScale>
    </cfRule>
  </conditionalFormatting>
  <conditionalFormatting sqref="F17:G17">
    <cfRule type="colorScale" priority="4">
      <colorScale>
        <cfvo type="min"/>
        <cfvo type="percentile" val="50"/>
        <cfvo type="max"/>
        <color rgb="FF63BE7B"/>
        <color rgb="FFFFEB84"/>
        <color rgb="FFF8696B"/>
      </colorScale>
    </cfRule>
  </conditionalFormatting>
  <conditionalFormatting sqref="F18:G18">
    <cfRule type="colorScale" priority="3">
      <colorScale>
        <cfvo type="min"/>
        <cfvo type="percentile" val="50"/>
        <cfvo type="max"/>
        <color rgb="FF63BE7B"/>
        <color rgb="FFFFEB84"/>
        <color rgb="FFF8696B"/>
      </colorScale>
    </cfRule>
  </conditionalFormatting>
  <conditionalFormatting sqref="J2:M18">
    <cfRule type="cellIs" dxfId="7" priority="2" operator="notBetween">
      <formula>0.1</formula>
      <formula>-0.1</formula>
    </cfRule>
  </conditionalFormatting>
  <conditionalFormatting sqref="P2:Q18">
    <cfRule type="cellIs" dxfId="6" priority="1" operator="notEqual">
      <formula>TRUE</formula>
    </cfRule>
  </conditionalFormatting>
  <dataValidations count="1">
    <dataValidation type="list" allowBlank="1" showInputMessage="1" showErrorMessage="1" sqref="A23" xr:uid="{1040D22A-9E1D-4ADB-BE99-DB69452E4929}">
      <formula1>$A$2:$A$18</formula1>
    </dataValidation>
  </dataValidations>
  <pageMargins left="0.7" right="0.7" top="0.78740157499999996" bottom="0.78740157499999996"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39BEB-6EF2-4235-BC98-CA908ECC48D8}">
  <dimension ref="A1:U33"/>
  <sheetViews>
    <sheetView topLeftCell="A7" workbookViewId="0">
      <selection activeCell="A22" sqref="A22"/>
    </sheetView>
  </sheetViews>
  <sheetFormatPr baseColWidth="10" defaultColWidth="11.44140625" defaultRowHeight="14.4" x14ac:dyDescent="0.3"/>
  <cols>
    <col min="1" max="1" width="92.88671875" style="185" bestFit="1" customWidth="1"/>
    <col min="2" max="16384" width="11.44140625" style="185"/>
  </cols>
  <sheetData>
    <row r="1" spans="1:21" x14ac:dyDescent="0.3">
      <c r="A1" s="185" t="s">
        <v>890</v>
      </c>
      <c r="B1" s="185" t="s">
        <v>891</v>
      </c>
      <c r="C1" s="185" t="s">
        <v>892</v>
      </c>
      <c r="D1" s="185" t="s">
        <v>893</v>
      </c>
      <c r="E1" s="185" t="s">
        <v>894</v>
      </c>
      <c r="F1" s="185" t="s">
        <v>895</v>
      </c>
      <c r="G1" s="185" t="s">
        <v>896</v>
      </c>
      <c r="H1" s="185" t="s">
        <v>897</v>
      </c>
      <c r="K1" s="185" t="s">
        <v>891</v>
      </c>
      <c r="L1" s="185" t="s">
        <v>892</v>
      </c>
      <c r="M1" s="185" t="s">
        <v>893</v>
      </c>
      <c r="N1" s="185" t="s">
        <v>894</v>
      </c>
      <c r="O1" s="185" t="s">
        <v>895</v>
      </c>
      <c r="P1" s="185" t="s">
        <v>896</v>
      </c>
      <c r="S1" s="185" t="s">
        <v>891</v>
      </c>
      <c r="T1" s="185" t="s">
        <v>893</v>
      </c>
      <c r="U1" s="185" t="s">
        <v>895</v>
      </c>
    </row>
    <row r="2" spans="1:21" x14ac:dyDescent="0.3">
      <c r="A2" s="185" t="s">
        <v>901</v>
      </c>
      <c r="B2" s="191">
        <v>0.39790415680056768</v>
      </c>
      <c r="C2" s="191">
        <v>0.12740560935773679</v>
      </c>
      <c r="D2" s="191">
        <v>0.25389313367113509</v>
      </c>
      <c r="E2" s="191">
        <v>0.13865856100212481</v>
      </c>
      <c r="F2" s="191">
        <v>0.68524221531589047</v>
      </c>
      <c r="G2" s="191">
        <v>0.19790123382249991</v>
      </c>
      <c r="H2" s="185" t="s">
        <v>902</v>
      </c>
      <c r="J2" s="185" t="s">
        <v>901</v>
      </c>
      <c r="K2" s="192">
        <f>(
VLOOKUP($J2,$A$2:$G$18,HLOOKUP(K$1,$B$1:$G$19,19,FALSE)+1,FALSE)
-
VLOOKUP($J2,'Ergebnisse Basisszenario'!$A$1:$H$21,HLOOKUP(K$1,'Ergebnisse Basisszenario'!$B$1:$G$21,21,FALSE)+1,FALSE)
)
/
VLOOKUP($J2,'Ergebnisse Basisszenario'!$A$1:$H$21,HLOOKUP(K$1,'Ergebnisse Basisszenario'!$B$1:$G$21,21,FALSE)+1,FALSE)</f>
        <v>6.5361126217200485E-2</v>
      </c>
      <c r="L2" s="192">
        <f>(
VLOOKUP($J2,$A$2:$G$18,HLOOKUP(L$1,$B$1:$G$19,19,FALSE)+1,FALSE)
-
VLOOKUP($J2,'Ergebnisse Basisszenario'!$A$1:$H$21,HLOOKUP(L$1,'Ergebnisse Basisszenario'!$B$1:$G$21,21,FALSE)+1,FALSE)
)
/
VLOOKUP($J2,'Ergebnisse Basisszenario'!$A$1:$H$21,HLOOKUP(L$1,'Ergebnisse Basisszenario'!$B$1:$G$21,21,FALSE)+1,FALSE)</f>
        <v>0</v>
      </c>
      <c r="M2" s="192">
        <f>(
VLOOKUP($J2,$A$2:$G$18,HLOOKUP(M$1,$B$1:$G$19,19,FALSE)+1,FALSE)
-
VLOOKUP($J2,'Ergebnisse Basisszenario'!$A$1:$H$21,HLOOKUP(M$1,'Ergebnisse Basisszenario'!$B$1:$G$21,21,FALSE)+1,FALSE)
)
/
VLOOKUP($J2,'Ergebnisse Basisszenario'!$A$1:$H$21,HLOOKUP(M$1,'Ergebnisse Basisszenario'!$B$1:$G$21,21,FALSE)+1,FALSE)</f>
        <v>5.0503039760300274E-2</v>
      </c>
      <c r="N2" s="192">
        <f>(
VLOOKUP($J2,$A$2:$G$18,HLOOKUP(N$1,$B$1:$G$19,19,FALSE)+1,FALSE)
-
VLOOKUP($J2,'Ergebnisse Basisszenario'!$A$1:$H$21,HLOOKUP(N$1,'Ergebnisse Basisszenario'!$B$1:$G$21,21,FALSE)+1,FALSE)
)
/
VLOOKUP($J2,'Ergebnisse Basisszenario'!$A$1:$H$21,HLOOKUP(N$1,'Ergebnisse Basisszenario'!$B$1:$G$21,21,FALSE)+1,FALSE)</f>
        <v>0</v>
      </c>
      <c r="O2" s="192">
        <f>(
VLOOKUP($J2,$A$2:$G$18,HLOOKUP(O$1,$B$1:$G$19,19,FALSE)+1,FALSE)
-
VLOOKUP($J2,'Ergebnisse Basisszenario'!$A$1:$H$21,HLOOKUP(O$1,'Ergebnisse Basisszenario'!$B$1:$G$21,21,FALSE)+1,FALSE)
)
/
VLOOKUP($J2,'Ergebnisse Basisszenario'!$A$1:$H$21,HLOOKUP(O$1,'Ergebnisse Basisszenario'!$B$1:$G$21,21,FALSE)+1,FALSE)</f>
        <v>3.5029453382387069E-2</v>
      </c>
      <c r="P2" s="192">
        <f>(
VLOOKUP($J2,$A$2:$G$18,HLOOKUP(P$1,$B$1:$G$19,19,FALSE)+1,FALSE)
-
VLOOKUP($J2,'Ergebnisse Basisszenario'!$A$1:$H$21,HLOOKUP(P$1,'Ergebnisse Basisszenario'!$B$1:$G$21,21,FALSE)+1,FALSE)
)
/
VLOOKUP($J2,'Ergebnisse Basisszenario'!$A$1:$H$21,HLOOKUP(P$1,'Ergebnisse Basisszenario'!$B$1:$G$21,21,FALSE)+1,FALSE)</f>
        <v>-4.2074890205873944E-16</v>
      </c>
      <c r="R2" s="185" t="s">
        <v>901</v>
      </c>
      <c r="S2" s="185" t="b">
        <f>IF(
IF((VLOOKUP($R2,$A$2:$G$18,HLOOKUP(S$1,$B$1:$G$19,19,FALSE)+1,FALSE)-VLOOKUP($R2,$A$2:$G$18,HLOOKUP(S$1,$B$1:$G$19,19,FALSE)+2,FALSE))&lt;0,TRUE,FALSE)
=
IF((VLOOKUP($R2,'Ergebnisse Basisszenario'!$A$2:$G$20,HLOOKUP(S$1,'Ergebnisse Basisszenario'!$B$1:$G$21,21,FALSE)+1,FALSE)-VLOOKUP($R2,'Ergebnisse Basisszenario'!$A$2:$G$20,HLOOKUP(S$1,'Ergebnisse Basisszenario'!$B$1:$G$21,21,FALSE)+2,FALSE))&lt;0,TRUE,FALSE),
TRUE,FALSE)</f>
        <v>1</v>
      </c>
      <c r="T2" s="185" t="b">
        <f>IF(
IF((VLOOKUP($R2,$A$2:$G$18,HLOOKUP(T$1,$B$1:$G$19,19,FALSE)+1,FALSE)-VLOOKUP($R2,$A$2:$G$18,HLOOKUP(T$1,$B$1:$G$19,19,FALSE)+2,FALSE))&lt;0,TRUE,FALSE)
=
IF((VLOOKUP($R2,'Ergebnisse Basisszenario'!$A$2:$G$20,HLOOKUP(T$1,'Ergebnisse Basisszenario'!$B$1:$G$21,21,FALSE)+1,FALSE)-VLOOKUP($R2,'Ergebnisse Basisszenario'!$A$2:$G$20,HLOOKUP(T$1,'Ergebnisse Basisszenario'!$B$1:$G$21,21,FALSE)+2,FALSE))&lt;0,TRUE,FALSE),
TRUE,FALSE)</f>
        <v>1</v>
      </c>
      <c r="U2" s="185" t="b">
        <f>IF(
IF((VLOOKUP($R2,$A$2:$G$18,HLOOKUP(U$1,$B$1:$G$19,19,FALSE)+1,FALSE)-VLOOKUP($R2,$A$2:$G$18,HLOOKUP(U$1,$B$1:$G$19,19,FALSE)+2,FALSE))&lt;0,TRUE,FALSE)
=
IF((VLOOKUP($R2,'Ergebnisse Basisszenario'!$A$2:$G$20,HLOOKUP(U$1,'Ergebnisse Basisszenario'!$B$1:$G$21,21,FALSE)+1,FALSE)-VLOOKUP($R2,'Ergebnisse Basisszenario'!$A$2:$G$20,HLOOKUP(U$1,'Ergebnisse Basisszenario'!$B$1:$G$21,21,FALSE)+2,FALSE))&lt;0,TRUE,FALSE),
TRUE,FALSE)</f>
        <v>1</v>
      </c>
    </row>
    <row r="3" spans="1:21" x14ac:dyDescent="0.3">
      <c r="A3" s="185" t="s">
        <v>903</v>
      </c>
      <c r="B3" s="191">
        <v>97.353420878128716</v>
      </c>
      <c r="C3" s="191">
        <v>51.451796087851079</v>
      </c>
      <c r="D3" s="191">
        <v>102.4225416599879</v>
      </c>
      <c r="E3" s="191">
        <v>60.622517652332903</v>
      </c>
      <c r="F3" s="191">
        <v>221.22761580186739</v>
      </c>
      <c r="G3" s="191">
        <v>86.750703793861035</v>
      </c>
      <c r="H3" s="185" t="s">
        <v>904</v>
      </c>
      <c r="J3" s="185" t="s">
        <v>903</v>
      </c>
      <c r="K3" s="192">
        <f>(
VLOOKUP($J3,$A$2:$G$18,HLOOKUP(K$1,$B$1:$G$19,19,FALSE)+1,FALSE)
-
VLOOKUP($J3,'Ergebnisse Basisszenario'!$A$1:$H$21,HLOOKUP(K$1,'Ergebnisse Basisszenario'!$B$1:$G$21,21,FALSE)+1,FALSE)
)
/
VLOOKUP($J3,'Ergebnisse Basisszenario'!$A$1:$H$21,HLOOKUP(K$1,'Ergebnisse Basisszenario'!$B$1:$G$21,21,FALSE)+1,FALSE)</f>
        <v>3.0978973075852772E-2</v>
      </c>
      <c r="L3" s="192">
        <f>(
VLOOKUP($J3,$A$2:$G$18,HLOOKUP(L$1,$B$1:$G$19,19,FALSE)+1,FALSE)
-
VLOOKUP($J3,'Ergebnisse Basisszenario'!$A$1:$H$21,HLOOKUP(L$1,'Ergebnisse Basisszenario'!$B$1:$G$21,21,FALSE)+1,FALSE)
)
/
VLOOKUP($J3,'Ergebnisse Basisszenario'!$A$1:$H$21,HLOOKUP(L$1,'Ergebnisse Basisszenario'!$B$1:$G$21,21,FALSE)+1,FALSE)</f>
        <v>4.142961702718142E-16</v>
      </c>
      <c r="M3" s="192">
        <f>(
VLOOKUP($J3,$A$2:$G$18,HLOOKUP(M$1,$B$1:$G$19,19,FALSE)+1,FALSE)
-
VLOOKUP($J3,'Ergebnisse Basisszenario'!$A$1:$H$21,HLOOKUP(M$1,'Ergebnisse Basisszenario'!$B$1:$G$21,21,FALSE)+1,FALSE)
)
/
VLOOKUP($J3,'Ergebnisse Basisszenario'!$A$1:$H$21,HLOOKUP(M$1,'Ergebnisse Basisszenario'!$B$1:$G$21,21,FALSE)+1,FALSE)</f>
        <v>1.4487369126028901E-2</v>
      </c>
      <c r="N3" s="192">
        <f>(
VLOOKUP($J3,$A$2:$G$18,HLOOKUP(N$1,$B$1:$G$19,19,FALSE)+1,FALSE)
-
VLOOKUP($J3,'Ergebnisse Basisszenario'!$A$1:$H$21,HLOOKUP(N$1,'Ergebnisse Basisszenario'!$B$1:$G$21,21,FALSE)+1,FALSE)
)
/
VLOOKUP($J3,'Ergebnisse Basisszenario'!$A$1:$H$21,HLOOKUP(N$1,'Ergebnisse Basisszenario'!$B$1:$G$21,21,FALSE)+1,FALSE)</f>
        <v>0</v>
      </c>
      <c r="O3" s="192">
        <f>(
VLOOKUP($J3,$A$2:$G$18,HLOOKUP(O$1,$B$1:$G$19,19,FALSE)+1,FALSE)
-
VLOOKUP($J3,'Ergebnisse Basisszenario'!$A$1:$H$21,HLOOKUP(O$1,'Ergebnisse Basisszenario'!$B$1:$G$21,21,FALSE)+1,FALSE)
)
/
VLOOKUP($J3,'Ergebnisse Basisszenario'!$A$1:$H$21,HLOOKUP(O$1,'Ergebnisse Basisszenario'!$B$1:$G$21,21,FALSE)+1,FALSE)</f>
        <v>1.2721630533342352E-2</v>
      </c>
      <c r="P3" s="192">
        <f>(
VLOOKUP($J3,$A$2:$G$18,HLOOKUP(P$1,$B$1:$G$19,19,FALSE)+1,FALSE)
-
VLOOKUP($J3,'Ergebnisse Basisszenario'!$A$1:$H$21,HLOOKUP(P$1,'Ergebnisse Basisszenario'!$B$1:$G$21,21,FALSE)+1,FALSE)
)
/
VLOOKUP($J3,'Ergebnisse Basisszenario'!$A$1:$H$21,HLOOKUP(P$1,'Ergebnisse Basisszenario'!$B$1:$G$21,21,FALSE)+1,FALSE)</f>
        <v>0</v>
      </c>
      <c r="R3" s="185" t="s">
        <v>903</v>
      </c>
      <c r="S3" s="185" t="b">
        <f>IF(
IF((VLOOKUP($R3,$A$2:$G$18,HLOOKUP(S$1,$B$1:$G$19,19,FALSE)+1,FALSE)-VLOOKUP($R3,$A$2:$G$18,HLOOKUP(S$1,$B$1:$G$19,19,FALSE)+2,FALSE))&lt;0,TRUE,FALSE)
=
IF((VLOOKUP($R3,'Ergebnisse Basisszenario'!$A$2:$G$20,HLOOKUP(S$1,'Ergebnisse Basisszenario'!$B$1:$G$21,21,FALSE)+1,FALSE)-VLOOKUP($R3,'Ergebnisse Basisszenario'!$A$2:$G$20,HLOOKUP(S$1,'Ergebnisse Basisszenario'!$B$1:$G$21,21,FALSE)+2,FALSE))&lt;0,TRUE,FALSE),
TRUE,FALSE)</f>
        <v>1</v>
      </c>
      <c r="T3" s="185" t="b">
        <f>IF(
IF((VLOOKUP($R3,$A$2:$G$18,HLOOKUP(T$1,$B$1:$G$19,19,FALSE)+1,FALSE)-VLOOKUP($R3,$A$2:$G$18,HLOOKUP(T$1,$B$1:$G$19,19,FALSE)+2,FALSE))&lt;0,TRUE,FALSE)
=
IF((VLOOKUP($R3,'Ergebnisse Basisszenario'!$A$2:$G$20,HLOOKUP(T$1,'Ergebnisse Basisszenario'!$B$1:$G$21,21,FALSE)+1,FALSE)-VLOOKUP($R3,'Ergebnisse Basisszenario'!$A$2:$G$20,HLOOKUP(T$1,'Ergebnisse Basisszenario'!$B$1:$G$21,21,FALSE)+2,FALSE))&lt;0,TRUE,FALSE),
TRUE,FALSE)</f>
        <v>1</v>
      </c>
      <c r="U3" s="185" t="b">
        <f>IF(
IF((VLOOKUP($R3,$A$2:$G$18,HLOOKUP(U$1,$B$1:$G$19,19,FALSE)+1,FALSE)-VLOOKUP($R3,$A$2:$G$18,HLOOKUP(U$1,$B$1:$G$19,19,FALSE)+2,FALSE))&lt;0,TRUE,FALSE)
=
IF((VLOOKUP($R3,'Ergebnisse Basisszenario'!$A$2:$G$20,HLOOKUP(U$1,'Ergebnisse Basisszenario'!$B$1:$G$21,21,FALSE)+1,FALSE)-VLOOKUP($R3,'Ergebnisse Basisszenario'!$A$2:$G$20,HLOOKUP(U$1,'Ergebnisse Basisszenario'!$B$1:$G$21,21,FALSE)+2,FALSE))&lt;0,TRUE,FALSE),
TRUE,FALSE)</f>
        <v>1</v>
      </c>
    </row>
    <row r="4" spans="1:21" x14ac:dyDescent="0.3">
      <c r="A4" s="185" t="s">
        <v>906</v>
      </c>
      <c r="B4" s="191">
        <v>94.803794823499743</v>
      </c>
      <c r="C4" s="191">
        <v>51.104833581974283</v>
      </c>
      <c r="D4" s="191">
        <v>102.11942950230279</v>
      </c>
      <c r="E4" s="191">
        <v>60.242299402801628</v>
      </c>
      <c r="F4" s="191">
        <v>218.82694719210431</v>
      </c>
      <c r="G4" s="191">
        <v>86.16277708223231</v>
      </c>
      <c r="H4" s="185" t="s">
        <v>904</v>
      </c>
      <c r="J4" s="185" t="s">
        <v>906</v>
      </c>
      <c r="K4" s="192">
        <f>(
VLOOKUP($J4,$A$2:$G$18,HLOOKUP(K$1,$B$1:$G$19,19,FALSE)+1,FALSE)
-
VLOOKUP($J4,'Ergebnisse Basisszenario'!$A$1:$H$21,HLOOKUP(K$1,'Ergebnisse Basisszenario'!$B$1:$G$21,21,FALSE)+1,FALSE)
)
/
VLOOKUP($J4,'Ergebnisse Basisszenario'!$A$1:$H$21,HLOOKUP(K$1,'Ergebnisse Basisszenario'!$B$1:$G$21,21,FALSE)+1,FALSE)</f>
        <v>3.1784173653423259E-2</v>
      </c>
      <c r="L4" s="192">
        <f>(
VLOOKUP($J4,$A$2:$G$18,HLOOKUP(L$1,$B$1:$G$19,19,FALSE)+1,FALSE)
-
VLOOKUP($J4,'Ergebnisse Basisszenario'!$A$1:$H$21,HLOOKUP(L$1,'Ergebnisse Basisszenario'!$B$1:$G$21,21,FALSE)+1,FALSE)
)
/
VLOOKUP($J4,'Ergebnisse Basisszenario'!$A$1:$H$21,HLOOKUP(L$1,'Ergebnisse Basisszenario'!$B$1:$G$21,21,FALSE)+1,FALSE)</f>
        <v>0</v>
      </c>
      <c r="M4" s="192">
        <f>(
VLOOKUP($J4,$A$2:$G$18,HLOOKUP(M$1,$B$1:$G$19,19,FALSE)+1,FALSE)
-
VLOOKUP($J4,'Ergebnisse Basisszenario'!$A$1:$H$21,HLOOKUP(M$1,'Ergebnisse Basisszenario'!$B$1:$G$21,21,FALSE)+1,FALSE)
)
/
VLOOKUP($J4,'Ergebnisse Basisszenario'!$A$1:$H$21,HLOOKUP(M$1,'Ergebnisse Basisszenario'!$B$1:$G$21,21,FALSE)+1,FALSE)</f>
        <v>1.4506554236441807E-2</v>
      </c>
      <c r="N4" s="192">
        <f>(
VLOOKUP($J4,$A$2:$G$18,HLOOKUP(N$1,$B$1:$G$19,19,FALSE)+1,FALSE)
-
VLOOKUP($J4,'Ergebnisse Basisszenario'!$A$1:$H$21,HLOOKUP(N$1,'Ergebnisse Basisszenario'!$B$1:$G$21,21,FALSE)+1,FALSE)
)
/
VLOOKUP($J4,'Ergebnisse Basisszenario'!$A$1:$H$21,HLOOKUP(N$1,'Ergebnisse Basisszenario'!$B$1:$G$21,21,FALSE)+1,FALSE)</f>
        <v>-2.3589495846071757E-16</v>
      </c>
      <c r="O4" s="192">
        <f>(
VLOOKUP($J4,$A$2:$G$18,HLOOKUP(O$1,$B$1:$G$19,19,FALSE)+1,FALSE)
-
VLOOKUP($J4,'Ergebnisse Basisszenario'!$A$1:$H$21,HLOOKUP(O$1,'Ergebnisse Basisszenario'!$B$1:$G$21,21,FALSE)+1,FALSE)
)
/
VLOOKUP($J4,'Ergebnisse Basisszenario'!$A$1:$H$21,HLOOKUP(O$1,'Ergebnisse Basisszenario'!$B$1:$G$21,21,FALSE)+1,FALSE)</f>
        <v>1.2841389784294891E-2</v>
      </c>
      <c r="P4" s="192">
        <f>(
VLOOKUP($J4,$A$2:$G$18,HLOOKUP(P$1,$B$1:$G$19,19,FALSE)+1,FALSE)
-
VLOOKUP($J4,'Ergebnisse Basisszenario'!$A$1:$H$21,HLOOKUP(P$1,'Ergebnisse Basisszenario'!$B$1:$G$21,21,FALSE)+1,FALSE)
)
/
VLOOKUP($J4,'Ergebnisse Basisszenario'!$A$1:$H$21,HLOOKUP(P$1,'Ergebnisse Basisszenario'!$B$1:$G$21,21,FALSE)+1,FALSE)</f>
        <v>0</v>
      </c>
      <c r="R4" s="185" t="s">
        <v>906</v>
      </c>
      <c r="S4" s="185" t="b">
        <f>IF(
IF((VLOOKUP($R4,$A$2:$G$18,HLOOKUP(S$1,$B$1:$G$19,19,FALSE)+1,FALSE)-VLOOKUP($R4,$A$2:$G$18,HLOOKUP(S$1,$B$1:$G$19,19,FALSE)+2,FALSE))&lt;0,TRUE,FALSE)
=
IF((VLOOKUP($R4,'Ergebnisse Basisszenario'!$A$2:$G$20,HLOOKUP(S$1,'Ergebnisse Basisszenario'!$B$1:$G$21,21,FALSE)+1,FALSE)-VLOOKUP($R4,'Ergebnisse Basisszenario'!$A$2:$G$20,HLOOKUP(S$1,'Ergebnisse Basisszenario'!$B$1:$G$21,21,FALSE)+2,FALSE))&lt;0,TRUE,FALSE),
TRUE,FALSE)</f>
        <v>1</v>
      </c>
      <c r="T4" s="185" t="b">
        <f>IF(
IF((VLOOKUP($R4,$A$2:$G$18,HLOOKUP(T$1,$B$1:$G$19,19,FALSE)+1,FALSE)-VLOOKUP($R4,$A$2:$G$18,HLOOKUP(T$1,$B$1:$G$19,19,FALSE)+2,FALSE))&lt;0,TRUE,FALSE)
=
IF((VLOOKUP($R4,'Ergebnisse Basisszenario'!$A$2:$G$20,HLOOKUP(T$1,'Ergebnisse Basisszenario'!$B$1:$G$21,21,FALSE)+1,FALSE)-VLOOKUP($R4,'Ergebnisse Basisszenario'!$A$2:$G$20,HLOOKUP(T$1,'Ergebnisse Basisszenario'!$B$1:$G$21,21,FALSE)+2,FALSE))&lt;0,TRUE,FALSE),
TRUE,FALSE)</f>
        <v>1</v>
      </c>
      <c r="U4" s="185" t="b">
        <f>IF(
IF((VLOOKUP($R4,$A$2:$G$18,HLOOKUP(U$1,$B$1:$G$19,19,FALSE)+1,FALSE)-VLOOKUP($R4,$A$2:$G$18,HLOOKUP(U$1,$B$1:$G$19,19,FALSE)+2,FALSE))&lt;0,TRUE,FALSE)
=
IF((VLOOKUP($R4,'Ergebnisse Basisszenario'!$A$2:$G$20,HLOOKUP(U$1,'Ergebnisse Basisszenario'!$B$1:$G$21,21,FALSE)+1,FALSE)-VLOOKUP($R4,'Ergebnisse Basisszenario'!$A$2:$G$20,HLOOKUP(U$1,'Ergebnisse Basisszenario'!$B$1:$G$21,21,FALSE)+2,FALSE))&lt;0,TRUE,FALSE),
TRUE,FALSE)</f>
        <v>1</v>
      </c>
    </row>
    <row r="5" spans="1:21" x14ac:dyDescent="0.3">
      <c r="A5" s="185" t="s">
        <v>908</v>
      </c>
      <c r="B5" s="191">
        <v>3596.199833188422</v>
      </c>
      <c r="C5" s="191">
        <v>527.50758404574412</v>
      </c>
      <c r="D5" s="191">
        <v>820.29659368934131</v>
      </c>
      <c r="E5" s="191">
        <v>541.98479464177558</v>
      </c>
      <c r="F5" s="191">
        <v>3619.5895966995499</v>
      </c>
      <c r="G5" s="191">
        <v>780.93142718575587</v>
      </c>
      <c r="H5" s="185" t="s">
        <v>909</v>
      </c>
      <c r="J5" s="185" t="s">
        <v>908</v>
      </c>
      <c r="K5" s="192">
        <f>(
VLOOKUP($J5,$A$2:$G$18,HLOOKUP(K$1,$B$1:$G$19,19,FALSE)+1,FALSE)
-
VLOOKUP($J5,'Ergebnisse Basisszenario'!$A$1:$H$21,HLOOKUP(K$1,'Ergebnisse Basisszenario'!$B$1:$G$21,21,FALSE)+1,FALSE)
)
/
VLOOKUP($J5,'Ergebnisse Basisszenario'!$A$1:$H$21,HLOOKUP(K$1,'Ergebnisse Basisszenario'!$B$1:$G$21,21,FALSE)+1,FALSE)</f>
        <v>1.0508151518580082E-2</v>
      </c>
      <c r="L5" s="192">
        <f>(
VLOOKUP($J5,$A$2:$G$18,HLOOKUP(L$1,$B$1:$G$19,19,FALSE)+1,FALSE)
-
VLOOKUP($J5,'Ergebnisse Basisszenario'!$A$1:$H$21,HLOOKUP(L$1,'Ergebnisse Basisszenario'!$B$1:$G$21,21,FALSE)+1,FALSE)
)
/
VLOOKUP($J5,'Ergebnisse Basisszenario'!$A$1:$H$21,HLOOKUP(L$1,'Ergebnisse Basisszenario'!$B$1:$G$21,21,FALSE)+1,FALSE)</f>
        <v>-6.4655091884948518E-16</v>
      </c>
      <c r="M5" s="192">
        <f>(
VLOOKUP($J5,$A$2:$G$18,HLOOKUP(M$1,$B$1:$G$19,19,FALSE)+1,FALSE)
-
VLOOKUP($J5,'Ergebnisse Basisszenario'!$A$1:$H$21,HLOOKUP(M$1,'Ergebnisse Basisszenario'!$B$1:$G$21,21,FALSE)+1,FALSE)
)
/
VLOOKUP($J5,'Ergebnisse Basisszenario'!$A$1:$H$21,HLOOKUP(M$1,'Ergebnisse Basisszenario'!$B$1:$G$21,21,FALSE)+1,FALSE)</f>
        <v>2.3326173414832872E-2</v>
      </c>
      <c r="N5" s="192">
        <f>(
VLOOKUP($J5,$A$2:$G$18,HLOOKUP(N$1,$B$1:$G$19,19,FALSE)+1,FALSE)
-
VLOOKUP($J5,'Ergebnisse Basisszenario'!$A$1:$H$21,HLOOKUP(N$1,'Ergebnisse Basisszenario'!$B$1:$G$21,21,FALSE)+1,FALSE)
)
/
VLOOKUP($J5,'Ergebnisse Basisszenario'!$A$1:$H$21,HLOOKUP(N$1,'Ergebnisse Basisszenario'!$B$1:$G$21,21,FALSE)+1,FALSE)</f>
        <v>0</v>
      </c>
      <c r="O5" s="192">
        <f>(
VLOOKUP($J5,$A$2:$G$18,HLOOKUP(O$1,$B$1:$G$19,19,FALSE)+1,FALSE)
-
VLOOKUP($J5,'Ergebnisse Basisszenario'!$A$1:$H$21,HLOOKUP(O$1,'Ergebnisse Basisszenario'!$B$1:$G$21,21,FALSE)+1,FALSE)
)
/
VLOOKUP($J5,'Ergebnisse Basisszenario'!$A$1:$H$21,HLOOKUP(O$1,'Ergebnisse Basisszenario'!$B$1:$G$21,21,FALSE)+1,FALSE)</f>
        <v>9.912388042461643E-3</v>
      </c>
      <c r="P5" s="192">
        <f>(
VLOOKUP($J5,$A$2:$G$18,HLOOKUP(P$1,$B$1:$G$19,19,FALSE)+1,FALSE)
-
VLOOKUP($J5,'Ergebnisse Basisszenario'!$A$1:$H$21,HLOOKUP(P$1,'Ergebnisse Basisszenario'!$B$1:$G$21,21,FALSE)+1,FALSE)
)
/
VLOOKUP($J5,'Ergebnisse Basisszenario'!$A$1:$H$21,HLOOKUP(P$1,'Ergebnisse Basisszenario'!$B$1:$G$21,21,FALSE)+1,FALSE)</f>
        <v>1.4557851530102909E-16</v>
      </c>
      <c r="R5" s="185" t="s">
        <v>908</v>
      </c>
      <c r="S5" s="185" t="b">
        <f>IF(
IF((VLOOKUP($R5,$A$2:$G$18,HLOOKUP(S$1,$B$1:$G$19,19,FALSE)+1,FALSE)-VLOOKUP($R5,$A$2:$G$18,HLOOKUP(S$1,$B$1:$G$19,19,FALSE)+2,FALSE))&lt;0,TRUE,FALSE)
=
IF((VLOOKUP($R5,'Ergebnisse Basisszenario'!$A$2:$G$20,HLOOKUP(S$1,'Ergebnisse Basisszenario'!$B$1:$G$21,21,FALSE)+1,FALSE)-VLOOKUP($R5,'Ergebnisse Basisszenario'!$A$2:$G$20,HLOOKUP(S$1,'Ergebnisse Basisszenario'!$B$1:$G$21,21,FALSE)+2,FALSE))&lt;0,TRUE,FALSE),
TRUE,FALSE)</f>
        <v>1</v>
      </c>
      <c r="T5" s="185" t="b">
        <f>IF(
IF((VLOOKUP($R5,$A$2:$G$18,HLOOKUP(T$1,$B$1:$G$19,19,FALSE)+1,FALSE)-VLOOKUP($R5,$A$2:$G$18,HLOOKUP(T$1,$B$1:$G$19,19,FALSE)+2,FALSE))&lt;0,TRUE,FALSE)
=
IF((VLOOKUP($R5,'Ergebnisse Basisszenario'!$A$2:$G$20,HLOOKUP(T$1,'Ergebnisse Basisszenario'!$B$1:$G$21,21,FALSE)+1,FALSE)-VLOOKUP($R5,'Ergebnisse Basisszenario'!$A$2:$G$20,HLOOKUP(T$1,'Ergebnisse Basisszenario'!$B$1:$G$21,21,FALSE)+2,FALSE))&lt;0,TRUE,FALSE),
TRUE,FALSE)</f>
        <v>1</v>
      </c>
      <c r="U5" s="185" t="b">
        <f>IF(
IF((VLOOKUP($R5,$A$2:$G$18,HLOOKUP(U$1,$B$1:$G$19,19,FALSE)+1,FALSE)-VLOOKUP($R5,$A$2:$G$18,HLOOKUP(U$1,$B$1:$G$19,19,FALSE)+2,FALSE))&lt;0,TRUE,FALSE)
=
IF((VLOOKUP($R5,'Ergebnisse Basisszenario'!$A$2:$G$20,HLOOKUP(U$1,'Ergebnisse Basisszenario'!$B$1:$G$21,21,FALSE)+1,FALSE)-VLOOKUP($R5,'Ergebnisse Basisszenario'!$A$2:$G$20,HLOOKUP(U$1,'Ergebnisse Basisszenario'!$B$1:$G$21,21,FALSE)+2,FALSE))&lt;0,TRUE,FALSE),
TRUE,FALSE)</f>
        <v>1</v>
      </c>
    </row>
    <row r="6" spans="1:21" x14ac:dyDescent="0.3">
      <c r="A6" s="185" t="s">
        <v>910</v>
      </c>
      <c r="B6" s="191">
        <v>1227.3759437151009</v>
      </c>
      <c r="C6" s="191">
        <v>796.43775995896681</v>
      </c>
      <c r="D6" s="191">
        <v>1458.510137802567</v>
      </c>
      <c r="E6" s="191">
        <v>923.98149267372241</v>
      </c>
      <c r="F6" s="191">
        <v>3167.3771177876001</v>
      </c>
      <c r="G6" s="191">
        <v>1337.1643182509411</v>
      </c>
      <c r="H6" s="185" t="s">
        <v>911</v>
      </c>
      <c r="J6" s="185" t="s">
        <v>910</v>
      </c>
      <c r="K6" s="192">
        <f>(
VLOOKUP($J6,$A$2:$G$18,HLOOKUP(K$1,$B$1:$G$19,19,FALSE)+1,FALSE)
-
VLOOKUP($J6,'Ergebnisse Basisszenario'!$A$1:$H$21,HLOOKUP(K$1,'Ergebnisse Basisszenario'!$B$1:$G$21,21,FALSE)+1,FALSE)
)
/
VLOOKUP($J6,'Ergebnisse Basisszenario'!$A$1:$H$21,HLOOKUP(K$1,'Ergebnisse Basisszenario'!$B$1:$G$21,21,FALSE)+1,FALSE)</f>
        <v>3.5795008690169126E-2</v>
      </c>
      <c r="L6" s="192">
        <f>(
VLOOKUP($J6,$A$2:$G$18,HLOOKUP(L$1,$B$1:$G$19,19,FALSE)+1,FALSE)
-
VLOOKUP($J6,'Ergebnisse Basisszenario'!$A$1:$H$21,HLOOKUP(L$1,'Ergebnisse Basisszenario'!$B$1:$G$21,21,FALSE)+1,FALSE)
)
/
VLOOKUP($J6,'Ergebnisse Basisszenario'!$A$1:$H$21,HLOOKUP(L$1,'Ergebnisse Basisszenario'!$B$1:$G$21,21,FALSE)+1,FALSE)</f>
        <v>-1.4274415834763172E-15</v>
      </c>
      <c r="M6" s="192">
        <f>(
VLOOKUP($J6,$A$2:$G$18,HLOOKUP(M$1,$B$1:$G$19,19,FALSE)+1,FALSE)
-
VLOOKUP($J6,'Ergebnisse Basisszenario'!$A$1:$H$21,HLOOKUP(M$1,'Ergebnisse Basisszenario'!$B$1:$G$21,21,FALSE)+1,FALSE)
)
/
VLOOKUP($J6,'Ergebnisse Basisszenario'!$A$1:$H$21,HLOOKUP(M$1,'Ergebnisse Basisszenario'!$B$1:$G$21,21,FALSE)+1,FALSE)</f>
        <v>1.4755303511533934E-2</v>
      </c>
      <c r="N6" s="192">
        <f>(
VLOOKUP($J6,$A$2:$G$18,HLOOKUP(N$1,$B$1:$G$19,19,FALSE)+1,FALSE)
-
VLOOKUP($J6,'Ergebnisse Basisszenario'!$A$1:$H$21,HLOOKUP(N$1,'Ergebnisse Basisszenario'!$B$1:$G$21,21,FALSE)+1,FALSE)
)
/
VLOOKUP($J6,'Ergebnisse Basisszenario'!$A$1:$H$21,HLOOKUP(N$1,'Ergebnisse Basisszenario'!$B$1:$G$21,21,FALSE)+1,FALSE)</f>
        <v>0</v>
      </c>
      <c r="O6" s="192">
        <f>(
VLOOKUP($J6,$A$2:$G$18,HLOOKUP(O$1,$B$1:$G$19,19,FALSE)+1,FALSE)
-
VLOOKUP($J6,'Ergebnisse Basisszenario'!$A$1:$H$21,HLOOKUP(O$1,'Ergebnisse Basisszenario'!$B$1:$G$21,21,FALSE)+1,FALSE)
)
/
VLOOKUP($J6,'Ergebnisse Basisszenario'!$A$1:$H$21,HLOOKUP(O$1,'Ergebnisse Basisszenario'!$B$1:$G$21,21,FALSE)+1,FALSE)</f>
        <v>1.2885775713897211E-2</v>
      </c>
      <c r="P6" s="192">
        <f>(
VLOOKUP($J6,$A$2:$G$18,HLOOKUP(P$1,$B$1:$G$19,19,FALSE)+1,FALSE)
-
VLOOKUP($J6,'Ergebnisse Basisszenario'!$A$1:$H$21,HLOOKUP(P$1,'Ergebnisse Basisszenario'!$B$1:$G$21,21,FALSE)+1,FALSE)
)
/
VLOOKUP($J6,'Ergebnisse Basisszenario'!$A$1:$H$21,HLOOKUP(P$1,'Ergebnisse Basisszenario'!$B$1:$G$21,21,FALSE)+1,FALSE)</f>
        <v>8.5020843115468859E-16</v>
      </c>
      <c r="R6" s="185" t="s">
        <v>910</v>
      </c>
      <c r="S6" s="185" t="b">
        <f>IF(
IF((VLOOKUP($R6,$A$2:$G$18,HLOOKUP(S$1,$B$1:$G$19,19,FALSE)+1,FALSE)-VLOOKUP($R6,$A$2:$G$18,HLOOKUP(S$1,$B$1:$G$19,19,FALSE)+2,FALSE))&lt;0,TRUE,FALSE)
=
IF((VLOOKUP($R6,'Ergebnisse Basisszenario'!$A$2:$G$20,HLOOKUP(S$1,'Ergebnisse Basisszenario'!$B$1:$G$21,21,FALSE)+1,FALSE)-VLOOKUP($R6,'Ergebnisse Basisszenario'!$A$2:$G$20,HLOOKUP(S$1,'Ergebnisse Basisszenario'!$B$1:$G$21,21,FALSE)+2,FALSE))&lt;0,TRUE,FALSE),
TRUE,FALSE)</f>
        <v>1</v>
      </c>
      <c r="T6" s="185" t="b">
        <f>IF(
IF((VLOOKUP($R6,$A$2:$G$18,HLOOKUP(T$1,$B$1:$G$19,19,FALSE)+1,FALSE)-VLOOKUP($R6,$A$2:$G$18,HLOOKUP(T$1,$B$1:$G$19,19,FALSE)+2,FALSE))&lt;0,TRUE,FALSE)
=
IF((VLOOKUP($R6,'Ergebnisse Basisszenario'!$A$2:$G$20,HLOOKUP(T$1,'Ergebnisse Basisszenario'!$B$1:$G$21,21,FALSE)+1,FALSE)-VLOOKUP($R6,'Ergebnisse Basisszenario'!$A$2:$G$20,HLOOKUP(T$1,'Ergebnisse Basisszenario'!$B$1:$G$21,21,FALSE)+2,FALSE))&lt;0,TRUE,FALSE),
TRUE,FALSE)</f>
        <v>1</v>
      </c>
      <c r="U6" s="185" t="b">
        <f>IF(
IF((VLOOKUP($R6,$A$2:$G$18,HLOOKUP(U$1,$B$1:$G$19,19,FALSE)+1,FALSE)-VLOOKUP($R6,$A$2:$G$18,HLOOKUP(U$1,$B$1:$G$19,19,FALSE)+2,FALSE))&lt;0,TRUE,FALSE)
=
IF((VLOOKUP($R6,'Ergebnisse Basisszenario'!$A$2:$G$20,HLOOKUP(U$1,'Ergebnisse Basisszenario'!$B$1:$G$21,21,FALSE)+1,FALSE)-VLOOKUP($R6,'Ergebnisse Basisszenario'!$A$2:$G$20,HLOOKUP(U$1,'Ergebnisse Basisszenario'!$B$1:$G$21,21,FALSE)+2,FALSE))&lt;0,TRUE,FALSE),
TRUE,FALSE)</f>
        <v>1</v>
      </c>
    </row>
    <row r="7" spans="1:21" x14ac:dyDescent="0.3">
      <c r="A7" s="185" t="s">
        <v>912</v>
      </c>
      <c r="B7" s="191">
        <v>4.5219469964319123E-2</v>
      </c>
      <c r="C7" s="191">
        <v>3.3263429173257912E-2</v>
      </c>
      <c r="D7" s="191">
        <v>2.8116171986329919E-2</v>
      </c>
      <c r="E7" s="191">
        <v>3.6889814548854781E-2</v>
      </c>
      <c r="F7" s="191">
        <v>0.12689630551931791</v>
      </c>
      <c r="G7" s="191">
        <v>5.7234505653970369E-2</v>
      </c>
      <c r="H7" s="185" t="s">
        <v>913</v>
      </c>
      <c r="J7" s="185" t="s">
        <v>912</v>
      </c>
      <c r="K7" s="192">
        <f>(
VLOOKUP($J7,$A$2:$G$18,HLOOKUP(K$1,$B$1:$G$19,19,FALSE)+1,FALSE)
-
VLOOKUP($J7,'Ergebnisse Basisszenario'!$A$1:$H$21,HLOOKUP(K$1,'Ergebnisse Basisszenario'!$B$1:$G$21,21,FALSE)+1,FALSE)
)
/
VLOOKUP($J7,'Ergebnisse Basisszenario'!$A$1:$H$21,HLOOKUP(K$1,'Ergebnisse Basisszenario'!$B$1:$G$21,21,FALSE)+1,FALSE)</f>
        <v>1.067900088537067E-2</v>
      </c>
      <c r="L7" s="192">
        <f>(
VLOOKUP($J7,$A$2:$G$18,HLOOKUP(L$1,$B$1:$G$19,19,FALSE)+1,FALSE)
-
VLOOKUP($J7,'Ergebnisse Basisszenario'!$A$1:$H$21,HLOOKUP(L$1,'Ergebnisse Basisszenario'!$B$1:$G$21,21,FALSE)+1,FALSE)
)
/
VLOOKUP($J7,'Ergebnisse Basisszenario'!$A$1:$H$21,HLOOKUP(L$1,'Ergebnisse Basisszenario'!$B$1:$G$21,21,FALSE)+1,FALSE)</f>
        <v>0</v>
      </c>
      <c r="M7" s="192">
        <f>(
VLOOKUP($J7,$A$2:$G$18,HLOOKUP(M$1,$B$1:$G$19,19,FALSE)+1,FALSE)
-
VLOOKUP($J7,'Ergebnisse Basisszenario'!$A$1:$H$21,HLOOKUP(M$1,'Ergebnisse Basisszenario'!$B$1:$G$21,21,FALSE)+1,FALSE)
)
/
VLOOKUP($J7,'Ergebnisse Basisszenario'!$A$1:$H$21,HLOOKUP(M$1,'Ergebnisse Basisszenario'!$B$1:$G$21,21,FALSE)+1,FALSE)</f>
        <v>8.5696394727801783E-3</v>
      </c>
      <c r="N7" s="192">
        <f>(
VLOOKUP($J7,$A$2:$G$18,HLOOKUP(N$1,$B$1:$G$19,19,FALSE)+1,FALSE)
-
VLOOKUP($J7,'Ergebnisse Basisszenario'!$A$1:$H$21,HLOOKUP(N$1,'Ergebnisse Basisszenario'!$B$1:$G$21,21,FALSE)+1,FALSE)
)
/
VLOOKUP($J7,'Ergebnisse Basisszenario'!$A$1:$H$21,HLOOKUP(N$1,'Ergebnisse Basisszenario'!$B$1:$G$21,21,FALSE)+1,FALSE)</f>
        <v>0</v>
      </c>
      <c r="O7" s="192">
        <f>(
VLOOKUP($J7,$A$2:$G$18,HLOOKUP(O$1,$B$1:$G$19,19,FALSE)+1,FALSE)
-
VLOOKUP($J7,'Ergebnisse Basisszenario'!$A$1:$H$21,HLOOKUP(O$1,'Ergebnisse Basisszenario'!$B$1:$G$21,21,FALSE)+1,FALSE)
)
/
VLOOKUP($J7,'Ergebnisse Basisszenario'!$A$1:$H$21,HLOOKUP(O$1,'Ergebnisse Basisszenario'!$B$1:$G$21,21,FALSE)+1,FALSE)</f>
        <v>3.5898287047950415E-3</v>
      </c>
      <c r="P7" s="192">
        <f>(
VLOOKUP($J7,$A$2:$G$18,HLOOKUP(P$1,$B$1:$G$19,19,FALSE)+1,FALSE)
-
VLOOKUP($J7,'Ergebnisse Basisszenario'!$A$1:$H$21,HLOOKUP(P$1,'Ergebnisse Basisszenario'!$B$1:$G$21,21,FALSE)+1,FALSE)
)
/
VLOOKUP($J7,'Ergebnisse Basisszenario'!$A$1:$H$21,HLOOKUP(P$1,'Ergebnisse Basisszenario'!$B$1:$G$21,21,FALSE)+1,FALSE)</f>
        <v>0</v>
      </c>
      <c r="R7" s="185" t="s">
        <v>912</v>
      </c>
      <c r="S7" s="185" t="b">
        <f>IF(
IF((VLOOKUP($R7,$A$2:$G$18,HLOOKUP(S$1,$B$1:$G$19,19,FALSE)+1,FALSE)-VLOOKUP($R7,$A$2:$G$18,HLOOKUP(S$1,$B$1:$G$19,19,FALSE)+2,FALSE))&lt;0,TRUE,FALSE)
=
IF((VLOOKUP($R7,'Ergebnisse Basisszenario'!$A$2:$G$20,HLOOKUP(S$1,'Ergebnisse Basisszenario'!$B$1:$G$21,21,FALSE)+1,FALSE)-VLOOKUP($R7,'Ergebnisse Basisszenario'!$A$2:$G$20,HLOOKUP(S$1,'Ergebnisse Basisszenario'!$B$1:$G$21,21,FALSE)+2,FALSE))&lt;0,TRUE,FALSE),
TRUE,FALSE)</f>
        <v>1</v>
      </c>
      <c r="T7" s="185" t="b">
        <f>IF(
IF((VLOOKUP($R7,$A$2:$G$18,HLOOKUP(T$1,$B$1:$G$19,19,FALSE)+1,FALSE)-VLOOKUP($R7,$A$2:$G$18,HLOOKUP(T$1,$B$1:$G$19,19,FALSE)+2,FALSE))&lt;0,TRUE,FALSE)
=
IF((VLOOKUP($R7,'Ergebnisse Basisszenario'!$A$2:$G$20,HLOOKUP(T$1,'Ergebnisse Basisszenario'!$B$1:$G$21,21,FALSE)+1,FALSE)-VLOOKUP($R7,'Ergebnisse Basisszenario'!$A$2:$G$20,HLOOKUP(T$1,'Ergebnisse Basisszenario'!$B$1:$G$21,21,FALSE)+2,FALSE))&lt;0,TRUE,FALSE),
TRUE,FALSE)</f>
        <v>1</v>
      </c>
      <c r="U7" s="185" t="b">
        <f>IF(
IF((VLOOKUP($R7,$A$2:$G$18,HLOOKUP(U$1,$B$1:$G$19,19,FALSE)+1,FALSE)-VLOOKUP($R7,$A$2:$G$18,HLOOKUP(U$1,$B$1:$G$19,19,FALSE)+2,FALSE))&lt;0,TRUE,FALSE)
=
IF((VLOOKUP($R7,'Ergebnisse Basisszenario'!$A$2:$G$20,HLOOKUP(U$1,'Ergebnisse Basisszenario'!$B$1:$G$21,21,FALSE)+1,FALSE)-VLOOKUP($R7,'Ergebnisse Basisszenario'!$A$2:$G$20,HLOOKUP(U$1,'Ergebnisse Basisszenario'!$B$1:$G$21,21,FALSE)+2,FALSE))&lt;0,TRUE,FALSE),
TRUE,FALSE)</f>
        <v>1</v>
      </c>
    </row>
    <row r="8" spans="1:21" x14ac:dyDescent="0.3">
      <c r="A8" s="185" t="s">
        <v>914</v>
      </c>
      <c r="B8" s="191">
        <v>0.10379965673779069</v>
      </c>
      <c r="C8" s="191">
        <v>3.1714480290257432E-2</v>
      </c>
      <c r="D8" s="191">
        <v>5.4460227087992842E-2</v>
      </c>
      <c r="E8" s="191">
        <v>3.4505488940419902E-2</v>
      </c>
      <c r="F8" s="191">
        <v>0.18023306358715371</v>
      </c>
      <c r="G8" s="191">
        <v>4.9915995256775661E-2</v>
      </c>
      <c r="H8" s="185" t="s">
        <v>915</v>
      </c>
      <c r="J8" s="185" t="s">
        <v>914</v>
      </c>
      <c r="K8" s="192">
        <f>(
VLOOKUP($J8,$A$2:$G$18,HLOOKUP(K$1,$B$1:$G$19,19,FALSE)+1,FALSE)
-
VLOOKUP($J8,'Ergebnisse Basisszenario'!$A$1:$H$21,HLOOKUP(K$1,'Ergebnisse Basisszenario'!$B$1:$G$21,21,FALSE)+1,FALSE)
)
/
VLOOKUP($J8,'Ergebnisse Basisszenario'!$A$1:$H$21,HLOOKUP(K$1,'Ergebnisse Basisszenario'!$B$1:$G$21,21,FALSE)+1,FALSE)</f>
        <v>6.8597087886072675E-2</v>
      </c>
      <c r="L8" s="192">
        <f>(
VLOOKUP($J8,$A$2:$G$18,HLOOKUP(L$1,$B$1:$G$19,19,FALSE)+1,FALSE)
-
VLOOKUP($J8,'Ergebnisse Basisszenario'!$A$1:$H$21,HLOOKUP(L$1,'Ergebnisse Basisszenario'!$B$1:$G$21,21,FALSE)+1,FALSE)
)
/
VLOOKUP($J8,'Ergebnisse Basisszenario'!$A$1:$H$21,HLOOKUP(L$1,'Ergebnisse Basisszenario'!$B$1:$G$21,21,FALSE)+1,FALSE)</f>
        <v>0</v>
      </c>
      <c r="M8" s="192">
        <f>(
VLOOKUP($J8,$A$2:$G$18,HLOOKUP(M$1,$B$1:$G$19,19,FALSE)+1,FALSE)
-
VLOOKUP($J8,'Ergebnisse Basisszenario'!$A$1:$H$21,HLOOKUP(M$1,'Ergebnisse Basisszenario'!$B$1:$G$21,21,FALSE)+1,FALSE)
)
/
VLOOKUP($J8,'Ergebnisse Basisszenario'!$A$1:$H$21,HLOOKUP(M$1,'Ergebnisse Basisszenario'!$B$1:$G$21,21,FALSE)+1,FALSE)</f>
        <v>6.5161908194607029E-2</v>
      </c>
      <c r="N8" s="192">
        <f>(
VLOOKUP($J8,$A$2:$G$18,HLOOKUP(N$1,$B$1:$G$19,19,FALSE)+1,FALSE)
-
VLOOKUP($J8,'Ergebnisse Basisszenario'!$A$1:$H$21,HLOOKUP(N$1,'Ergebnisse Basisszenario'!$B$1:$G$21,21,FALSE)+1,FALSE)
)
/
VLOOKUP($J8,'Ergebnisse Basisszenario'!$A$1:$H$21,HLOOKUP(N$1,'Ergebnisse Basisszenario'!$B$1:$G$21,21,FALSE)+1,FALSE)</f>
        <v>0</v>
      </c>
      <c r="O8" s="192">
        <f>(
VLOOKUP($J8,$A$2:$G$18,HLOOKUP(O$1,$B$1:$G$19,19,FALSE)+1,FALSE)
-
VLOOKUP($J8,'Ergebnisse Basisszenario'!$A$1:$H$21,HLOOKUP(O$1,'Ergebnisse Basisszenario'!$B$1:$G$21,21,FALSE)+1,FALSE)
)
/
VLOOKUP($J8,'Ergebnisse Basisszenario'!$A$1:$H$21,HLOOKUP(O$1,'Ergebnisse Basisszenario'!$B$1:$G$21,21,FALSE)+1,FALSE)</f>
        <v>3.6400240731165344E-2</v>
      </c>
      <c r="P8" s="192">
        <f>(
VLOOKUP($J8,$A$2:$G$18,HLOOKUP(P$1,$B$1:$G$19,19,FALSE)+1,FALSE)
-
VLOOKUP($J8,'Ergebnisse Basisszenario'!$A$1:$H$21,HLOOKUP(P$1,'Ergebnisse Basisszenario'!$B$1:$G$21,21,FALSE)+1,FALSE)
)
/
VLOOKUP($J8,'Ergebnisse Basisszenario'!$A$1:$H$21,HLOOKUP(P$1,'Ergebnisse Basisszenario'!$B$1:$G$21,21,FALSE)+1,FALSE)</f>
        <v>-1.3901143046857978E-16</v>
      </c>
      <c r="R8" s="185" t="s">
        <v>914</v>
      </c>
      <c r="S8" s="185" t="b">
        <f>IF(
IF((VLOOKUP($R8,$A$2:$G$18,HLOOKUP(S$1,$B$1:$G$19,19,FALSE)+1,FALSE)-VLOOKUP($R8,$A$2:$G$18,HLOOKUP(S$1,$B$1:$G$19,19,FALSE)+2,FALSE))&lt;0,TRUE,FALSE)
=
IF((VLOOKUP($R8,'Ergebnisse Basisszenario'!$A$2:$G$20,HLOOKUP(S$1,'Ergebnisse Basisszenario'!$B$1:$G$21,21,FALSE)+1,FALSE)-VLOOKUP($R8,'Ergebnisse Basisszenario'!$A$2:$G$20,HLOOKUP(S$1,'Ergebnisse Basisszenario'!$B$1:$G$21,21,FALSE)+2,FALSE))&lt;0,TRUE,FALSE),
TRUE,FALSE)</f>
        <v>1</v>
      </c>
      <c r="T8" s="185" t="b">
        <f>IF(
IF((VLOOKUP($R8,$A$2:$G$18,HLOOKUP(T$1,$B$1:$G$19,19,FALSE)+1,FALSE)-VLOOKUP($R8,$A$2:$G$18,HLOOKUP(T$1,$B$1:$G$19,19,FALSE)+2,FALSE))&lt;0,TRUE,FALSE)
=
IF((VLOOKUP($R8,'Ergebnisse Basisszenario'!$A$2:$G$20,HLOOKUP(T$1,'Ergebnisse Basisszenario'!$B$1:$G$21,21,FALSE)+1,FALSE)-VLOOKUP($R8,'Ergebnisse Basisszenario'!$A$2:$G$20,HLOOKUP(T$1,'Ergebnisse Basisszenario'!$B$1:$G$21,21,FALSE)+2,FALSE))&lt;0,TRUE,FALSE),
TRUE,FALSE)</f>
        <v>1</v>
      </c>
      <c r="U8" s="185" t="b">
        <f>IF(
IF((VLOOKUP($R8,$A$2:$G$18,HLOOKUP(U$1,$B$1:$G$19,19,FALSE)+1,FALSE)-VLOOKUP($R8,$A$2:$G$18,HLOOKUP(U$1,$B$1:$G$19,19,FALSE)+2,FALSE))&lt;0,TRUE,FALSE)
=
IF((VLOOKUP($R8,'Ergebnisse Basisszenario'!$A$2:$G$20,HLOOKUP(U$1,'Ergebnisse Basisszenario'!$B$1:$G$21,21,FALSE)+1,FALSE)-VLOOKUP($R8,'Ergebnisse Basisszenario'!$A$2:$G$20,HLOOKUP(U$1,'Ergebnisse Basisszenario'!$B$1:$G$21,21,FALSE)+2,FALSE))&lt;0,TRUE,FALSE),
TRUE,FALSE)</f>
        <v>1</v>
      </c>
    </row>
    <row r="9" spans="1:21" x14ac:dyDescent="0.3">
      <c r="A9" s="185" t="s">
        <v>916</v>
      </c>
      <c r="B9" s="191">
        <v>0.95970322617564208</v>
      </c>
      <c r="C9" s="191">
        <v>0.28211167118700092</v>
      </c>
      <c r="D9" s="191">
        <v>0.53783098506296811</v>
      </c>
      <c r="E9" s="191">
        <v>0.30069210920065731</v>
      </c>
      <c r="F9" s="191">
        <v>1.6454327139871481</v>
      </c>
      <c r="G9" s="191">
        <v>0.43642070306122549</v>
      </c>
      <c r="H9" s="185" t="s">
        <v>917</v>
      </c>
      <c r="J9" s="185" t="s">
        <v>916</v>
      </c>
      <c r="K9" s="192">
        <f>(
VLOOKUP($J9,$A$2:$G$18,HLOOKUP(K$1,$B$1:$G$19,19,FALSE)+1,FALSE)
-
VLOOKUP($J9,'Ergebnisse Basisszenario'!$A$1:$H$21,HLOOKUP(K$1,'Ergebnisse Basisszenario'!$B$1:$G$21,21,FALSE)+1,FALSE)
)
/
VLOOKUP($J9,'Ergebnisse Basisszenario'!$A$1:$H$21,HLOOKUP(K$1,'Ergebnisse Basisszenario'!$B$1:$G$21,21,FALSE)+1,FALSE)</f>
        <v>8.1965625173678697E-2</v>
      </c>
      <c r="L9" s="192">
        <f>(
VLOOKUP($J9,$A$2:$G$18,HLOOKUP(L$1,$B$1:$G$19,19,FALSE)+1,FALSE)
-
VLOOKUP($J9,'Ergebnisse Basisszenario'!$A$1:$H$21,HLOOKUP(L$1,'Ergebnisse Basisszenario'!$B$1:$G$21,21,FALSE)+1,FALSE)
)
/
VLOOKUP($J9,'Ergebnisse Basisszenario'!$A$1:$H$21,HLOOKUP(L$1,'Ergebnisse Basisszenario'!$B$1:$G$21,21,FALSE)+1,FALSE)</f>
        <v>0</v>
      </c>
      <c r="M9" s="192">
        <f>(
VLOOKUP($J9,$A$2:$G$18,HLOOKUP(M$1,$B$1:$G$19,19,FALSE)+1,FALSE)
-
VLOOKUP($J9,'Ergebnisse Basisszenario'!$A$1:$H$21,HLOOKUP(M$1,'Ergebnisse Basisszenario'!$B$1:$G$21,21,FALSE)+1,FALSE)
)
/
VLOOKUP($J9,'Ergebnisse Basisszenario'!$A$1:$H$21,HLOOKUP(M$1,'Ergebnisse Basisszenario'!$B$1:$G$21,21,FALSE)+1,FALSE)</f>
        <v>7.2489030566598403E-2</v>
      </c>
      <c r="N9" s="192">
        <f>(
VLOOKUP($J9,$A$2:$G$18,HLOOKUP(N$1,$B$1:$G$19,19,FALSE)+1,FALSE)
-
VLOOKUP($J9,'Ergebnisse Basisszenario'!$A$1:$H$21,HLOOKUP(N$1,'Ergebnisse Basisszenario'!$B$1:$G$21,21,FALSE)+1,FALSE)
)
/
VLOOKUP($J9,'Ergebnisse Basisszenario'!$A$1:$H$21,HLOOKUP(N$1,'Ergebnisse Basisszenario'!$B$1:$G$21,21,FALSE)+1,FALSE)</f>
        <v>3.6922253383253398E-16</v>
      </c>
      <c r="O9" s="192">
        <f>(
VLOOKUP($J9,$A$2:$G$18,HLOOKUP(O$1,$B$1:$G$19,19,FALSE)+1,FALSE)
-
VLOOKUP($J9,'Ergebnisse Basisszenario'!$A$1:$H$21,HLOOKUP(O$1,'Ergebnisse Basisszenario'!$B$1:$G$21,21,FALSE)+1,FALSE)
)
/
VLOOKUP($J9,'Ergebnisse Basisszenario'!$A$1:$H$21,HLOOKUP(O$1,'Ergebnisse Basisszenario'!$B$1:$G$21,21,FALSE)+1,FALSE)</f>
        <v>4.3814941295159886E-2</v>
      </c>
      <c r="P9" s="192">
        <f>(
VLOOKUP($J9,$A$2:$G$18,HLOOKUP(P$1,$B$1:$G$19,19,FALSE)+1,FALSE)
-
VLOOKUP($J9,'Ergebnisse Basisszenario'!$A$1:$H$21,HLOOKUP(P$1,'Ergebnisse Basisszenario'!$B$1:$G$21,21,FALSE)+1,FALSE)
)
/
VLOOKUP($J9,'Ergebnisse Basisszenario'!$A$1:$H$21,HLOOKUP(P$1,'Ergebnisse Basisszenario'!$B$1:$G$21,21,FALSE)+1,FALSE)</f>
        <v>-2.543928408614939E-16</v>
      </c>
      <c r="R9" s="185" t="s">
        <v>916</v>
      </c>
      <c r="S9" s="185" t="b">
        <f>IF(
IF((VLOOKUP($R9,$A$2:$G$18,HLOOKUP(S$1,$B$1:$G$19,19,FALSE)+1,FALSE)-VLOOKUP($R9,$A$2:$G$18,HLOOKUP(S$1,$B$1:$G$19,19,FALSE)+2,FALSE))&lt;0,TRUE,FALSE)
=
IF((VLOOKUP($R9,'Ergebnisse Basisszenario'!$A$2:$G$20,HLOOKUP(S$1,'Ergebnisse Basisszenario'!$B$1:$G$21,21,FALSE)+1,FALSE)-VLOOKUP($R9,'Ergebnisse Basisszenario'!$A$2:$G$20,HLOOKUP(S$1,'Ergebnisse Basisszenario'!$B$1:$G$21,21,FALSE)+2,FALSE))&lt;0,TRUE,FALSE),
TRUE,FALSE)</f>
        <v>1</v>
      </c>
      <c r="T9" s="185" t="b">
        <f>IF(
IF((VLOOKUP($R9,$A$2:$G$18,HLOOKUP(T$1,$B$1:$G$19,19,FALSE)+1,FALSE)-VLOOKUP($R9,$A$2:$G$18,HLOOKUP(T$1,$B$1:$G$19,19,FALSE)+2,FALSE))&lt;0,TRUE,FALSE)
=
IF((VLOOKUP($R9,'Ergebnisse Basisszenario'!$A$2:$G$20,HLOOKUP(T$1,'Ergebnisse Basisszenario'!$B$1:$G$21,21,FALSE)+1,FALSE)-VLOOKUP($R9,'Ergebnisse Basisszenario'!$A$2:$G$20,HLOOKUP(T$1,'Ergebnisse Basisszenario'!$B$1:$G$21,21,FALSE)+2,FALSE))&lt;0,TRUE,FALSE),
TRUE,FALSE)</f>
        <v>1</v>
      </c>
      <c r="U9" s="185" t="b">
        <f>IF(
IF((VLOOKUP($R9,$A$2:$G$18,HLOOKUP(U$1,$B$1:$G$19,19,FALSE)+1,FALSE)-VLOOKUP($R9,$A$2:$G$18,HLOOKUP(U$1,$B$1:$G$19,19,FALSE)+2,FALSE))&lt;0,TRUE,FALSE)
=
IF((VLOOKUP($R9,'Ergebnisse Basisszenario'!$A$2:$G$20,HLOOKUP(U$1,'Ergebnisse Basisszenario'!$B$1:$G$21,21,FALSE)+1,FALSE)-VLOOKUP($R9,'Ergebnisse Basisszenario'!$A$2:$G$20,HLOOKUP(U$1,'Ergebnisse Basisszenario'!$B$1:$G$21,21,FALSE)+2,FALSE))&lt;0,TRUE,FALSE),
TRUE,FALSE)</f>
        <v>1</v>
      </c>
    </row>
    <row r="10" spans="1:21" x14ac:dyDescent="0.3">
      <c r="A10" s="185" t="s">
        <v>918</v>
      </c>
      <c r="B10" s="191">
        <v>4.273434408679383E-7</v>
      </c>
      <c r="C10" s="191">
        <v>2.5254599826815979E-8</v>
      </c>
      <c r="D10" s="191">
        <v>2.7955081178152311E-8</v>
      </c>
      <c r="E10" s="191">
        <v>2.3374140966321709E-8</v>
      </c>
      <c r="F10" s="191">
        <v>5.0155408966273192E-7</v>
      </c>
      <c r="G10" s="191">
        <v>3.5338986223895767E-8</v>
      </c>
      <c r="H10" s="185" t="s">
        <v>919</v>
      </c>
      <c r="J10" s="185" t="s">
        <v>918</v>
      </c>
      <c r="K10" s="192">
        <f>(
VLOOKUP($J10,$A$2:$G$18,HLOOKUP(K$1,$B$1:$G$19,19,FALSE)+1,FALSE)
-
VLOOKUP($J10,'Ergebnisse Basisszenario'!$A$1:$H$21,HLOOKUP(K$1,'Ergebnisse Basisszenario'!$B$1:$G$21,21,FALSE)+1,FALSE)
)
/
VLOOKUP($J10,'Ergebnisse Basisszenario'!$A$1:$H$21,HLOOKUP(K$1,'Ergebnisse Basisszenario'!$B$1:$G$21,21,FALSE)+1,FALSE)</f>
        <v>4.3624775632391428E-3</v>
      </c>
      <c r="L10" s="192">
        <f>(
VLOOKUP($J10,$A$2:$G$18,HLOOKUP(L$1,$B$1:$G$19,19,FALSE)+1,FALSE)
-
VLOOKUP($J10,'Ergebnisse Basisszenario'!$A$1:$H$21,HLOOKUP(L$1,'Ergebnisse Basisszenario'!$B$1:$G$21,21,FALSE)+1,FALSE)
)
/
VLOOKUP($J10,'Ergebnisse Basisszenario'!$A$1:$H$21,HLOOKUP(L$1,'Ergebnisse Basisszenario'!$B$1:$G$21,21,FALSE)+1,FALSE)</f>
        <v>7.8608787458168166E-16</v>
      </c>
      <c r="M10" s="192">
        <f>(
VLOOKUP($J10,$A$2:$G$18,HLOOKUP(M$1,$B$1:$G$19,19,FALSE)+1,FALSE)
-
VLOOKUP($J10,'Ergebnisse Basisszenario'!$A$1:$H$21,HLOOKUP(M$1,'Ergebnisse Basisszenario'!$B$1:$G$21,21,FALSE)+1,FALSE)
)
/
VLOOKUP($J10,'Ergebnisse Basisszenario'!$A$1:$H$21,HLOOKUP(M$1,'Ergebnisse Basisszenario'!$B$1:$G$21,21,FALSE)+1,FALSE)</f>
        <v>3.433934942711972E-2</v>
      </c>
      <c r="N10" s="192">
        <f>(
VLOOKUP($J10,$A$2:$G$18,HLOOKUP(N$1,$B$1:$G$19,19,FALSE)+1,FALSE)
-
VLOOKUP($J10,'Ergebnisse Basisszenario'!$A$1:$H$21,HLOOKUP(N$1,'Ergebnisse Basisszenario'!$B$1:$G$21,21,FALSE)+1,FALSE)
)
/
VLOOKUP($J10,'Ergebnisse Basisszenario'!$A$1:$H$21,HLOOKUP(N$1,'Ergebnisse Basisszenario'!$B$1:$G$21,21,FALSE)+1,FALSE)</f>
        <v>0</v>
      </c>
      <c r="O10" s="192">
        <f>(
VLOOKUP($J10,$A$2:$G$18,HLOOKUP(O$1,$B$1:$G$19,19,FALSE)+1,FALSE)
-
VLOOKUP($J10,'Ergebnisse Basisszenario'!$A$1:$H$21,HLOOKUP(O$1,'Ergebnisse Basisszenario'!$B$1:$G$21,21,FALSE)+1,FALSE)
)
/
VLOOKUP($J10,'Ergebnisse Basisszenario'!$A$1:$H$21,HLOOKUP(O$1,'Ergebnisse Basisszenario'!$B$1:$G$21,21,FALSE)+1,FALSE)</f>
        <v>3.5282161768268685E-3</v>
      </c>
      <c r="P10" s="192">
        <f>(
VLOOKUP($J10,$A$2:$G$18,HLOOKUP(P$1,$B$1:$G$19,19,FALSE)+1,FALSE)
-
VLOOKUP($J10,'Ergebnisse Basisszenario'!$A$1:$H$21,HLOOKUP(P$1,'Ergebnisse Basisszenario'!$B$1:$G$21,21,FALSE)+1,FALSE)
)
/
VLOOKUP($J10,'Ergebnisse Basisszenario'!$A$1:$H$21,HLOOKUP(P$1,'Ergebnisse Basisszenario'!$B$1:$G$21,21,FALSE)+1,FALSE)</f>
        <v>0</v>
      </c>
      <c r="R10" s="185" t="s">
        <v>918</v>
      </c>
      <c r="S10" s="185" t="b">
        <f>IF(
IF((VLOOKUP($R10,$A$2:$G$18,HLOOKUP(S$1,$B$1:$G$19,19,FALSE)+1,FALSE)-VLOOKUP($R10,$A$2:$G$18,HLOOKUP(S$1,$B$1:$G$19,19,FALSE)+2,FALSE))&lt;0,TRUE,FALSE)
=
IF((VLOOKUP($R10,'Ergebnisse Basisszenario'!$A$2:$G$20,HLOOKUP(S$1,'Ergebnisse Basisszenario'!$B$1:$G$21,21,FALSE)+1,FALSE)-VLOOKUP($R10,'Ergebnisse Basisszenario'!$A$2:$G$20,HLOOKUP(S$1,'Ergebnisse Basisszenario'!$B$1:$G$21,21,FALSE)+2,FALSE))&lt;0,TRUE,FALSE),
TRUE,FALSE)</f>
        <v>1</v>
      </c>
      <c r="T10" s="185" t="b">
        <f>IF(
IF((VLOOKUP($R10,$A$2:$G$18,HLOOKUP(T$1,$B$1:$G$19,19,FALSE)+1,FALSE)-VLOOKUP($R10,$A$2:$G$18,HLOOKUP(T$1,$B$1:$G$19,19,FALSE)+2,FALSE))&lt;0,TRUE,FALSE)
=
IF((VLOOKUP($R10,'Ergebnisse Basisszenario'!$A$2:$G$20,HLOOKUP(T$1,'Ergebnisse Basisszenario'!$B$1:$G$21,21,FALSE)+1,FALSE)-VLOOKUP($R10,'Ergebnisse Basisszenario'!$A$2:$G$20,HLOOKUP(T$1,'Ergebnisse Basisszenario'!$B$1:$G$21,21,FALSE)+2,FALSE))&lt;0,TRUE,FALSE),
TRUE,FALSE)</f>
        <v>1</v>
      </c>
      <c r="U10" s="185" t="b">
        <f>IF(
IF((VLOOKUP($R10,$A$2:$G$18,HLOOKUP(U$1,$B$1:$G$19,19,FALSE)+1,FALSE)-VLOOKUP($R10,$A$2:$G$18,HLOOKUP(U$1,$B$1:$G$19,19,FALSE)+2,FALSE))&lt;0,TRUE,FALSE)
=
IF((VLOOKUP($R10,'Ergebnisse Basisszenario'!$A$2:$G$20,HLOOKUP(U$1,'Ergebnisse Basisszenario'!$B$1:$G$21,21,FALSE)+1,FALSE)-VLOOKUP($R10,'Ergebnisse Basisszenario'!$A$2:$G$20,HLOOKUP(U$1,'Ergebnisse Basisszenario'!$B$1:$G$21,21,FALSE)+2,FALSE))&lt;0,TRUE,FALSE),
TRUE,FALSE)</f>
        <v>1</v>
      </c>
    </row>
    <row r="11" spans="1:21" x14ac:dyDescent="0.3">
      <c r="A11" s="185" t="s">
        <v>920</v>
      </c>
      <c r="B11" s="191">
        <v>2.2072289422225812E-6</v>
      </c>
      <c r="C11" s="191">
        <v>4.9330147233183431E-7</v>
      </c>
      <c r="D11" s="191">
        <v>6.4711164563375165E-7</v>
      </c>
      <c r="E11" s="191">
        <v>5.0970076436931948E-7</v>
      </c>
      <c r="F11" s="191">
        <v>3.3463303745222931E-6</v>
      </c>
      <c r="G11" s="191">
        <v>7.5795203269469666E-7</v>
      </c>
      <c r="H11" s="185" t="s">
        <v>919</v>
      </c>
      <c r="J11" s="185" t="s">
        <v>920</v>
      </c>
      <c r="K11" s="192">
        <f>(
VLOOKUP($J11,$A$2:$G$18,HLOOKUP(K$1,$B$1:$G$19,19,FALSE)+1,FALSE)
-
VLOOKUP($J11,'Ergebnisse Basisszenario'!$A$1:$H$21,HLOOKUP(K$1,'Ergebnisse Basisszenario'!$B$1:$G$21,21,FALSE)+1,FALSE)
)
/
VLOOKUP($J11,'Ergebnisse Basisszenario'!$A$1:$H$21,HLOOKUP(K$1,'Ergebnisse Basisszenario'!$B$1:$G$21,21,FALSE)+1,FALSE)</f>
        <v>1.5829904372074613E-2</v>
      </c>
      <c r="L11" s="192">
        <f>(
VLOOKUP($J11,$A$2:$G$18,HLOOKUP(L$1,$B$1:$G$19,19,FALSE)+1,FALSE)
-
VLOOKUP($J11,'Ergebnisse Basisszenario'!$A$1:$H$21,HLOOKUP(L$1,'Ergebnisse Basisszenario'!$B$1:$G$21,21,FALSE)+1,FALSE)
)
/
VLOOKUP($J11,'Ergebnisse Basisszenario'!$A$1:$H$21,HLOOKUP(L$1,'Ergebnisse Basisszenario'!$B$1:$G$21,21,FALSE)+1,FALSE)</f>
        <v>0</v>
      </c>
      <c r="M11" s="192">
        <f>(
VLOOKUP($J11,$A$2:$G$18,HLOOKUP(M$1,$B$1:$G$19,19,FALSE)+1,FALSE)
-
VLOOKUP($J11,'Ergebnisse Basisszenario'!$A$1:$H$21,HLOOKUP(M$1,'Ergebnisse Basisszenario'!$B$1:$G$21,21,FALSE)+1,FALSE)
)
/
VLOOKUP($J11,'Ergebnisse Basisszenario'!$A$1:$H$21,HLOOKUP(M$1,'Ergebnisse Basisszenario'!$B$1:$G$21,21,FALSE)+1,FALSE)</f>
        <v>2.7301944455386695E-2</v>
      </c>
      <c r="N11" s="192">
        <f>(
VLOOKUP($J11,$A$2:$G$18,HLOOKUP(N$1,$B$1:$G$19,19,FALSE)+1,FALSE)
-
VLOOKUP($J11,'Ergebnisse Basisszenario'!$A$1:$H$21,HLOOKUP(N$1,'Ergebnisse Basisszenario'!$B$1:$G$21,21,FALSE)+1,FALSE)
)
/
VLOOKUP($J11,'Ergebnisse Basisszenario'!$A$1:$H$21,HLOOKUP(N$1,'Ergebnisse Basisszenario'!$B$1:$G$21,21,FALSE)+1,FALSE)</f>
        <v>-2.0772799612689913E-16</v>
      </c>
      <c r="O11" s="192">
        <f>(
VLOOKUP($J11,$A$2:$G$18,HLOOKUP(O$1,$B$1:$G$19,19,FALSE)+1,FALSE)
-
VLOOKUP($J11,'Ergebnisse Basisszenario'!$A$1:$H$21,HLOOKUP(O$1,'Ergebnisse Basisszenario'!$B$1:$G$21,21,FALSE)+1,FALSE)
)
/
VLOOKUP($J11,'Ergebnisse Basisszenario'!$A$1:$H$21,HLOOKUP(O$1,'Ergebnisse Basisszenario'!$B$1:$G$21,21,FALSE)+1,FALSE)</f>
        <v>9.8610025520325696E-3</v>
      </c>
      <c r="P11" s="192">
        <f>(
VLOOKUP($J11,$A$2:$G$18,HLOOKUP(P$1,$B$1:$G$19,19,FALSE)+1,FALSE)
-
VLOOKUP($J11,'Ergebnisse Basisszenario'!$A$1:$H$21,HLOOKUP(P$1,'Ergebnisse Basisszenario'!$B$1:$G$21,21,FALSE)+1,FALSE)
)
/
VLOOKUP($J11,'Ergebnisse Basisszenario'!$A$1:$H$21,HLOOKUP(P$1,'Ergebnisse Basisszenario'!$B$1:$G$21,21,FALSE)+1,FALSE)</f>
        <v>-1.3969105410320295E-16</v>
      </c>
      <c r="R11" s="185" t="s">
        <v>920</v>
      </c>
      <c r="S11" s="185" t="b">
        <f>IF(
IF((VLOOKUP($R11,$A$2:$G$18,HLOOKUP(S$1,$B$1:$G$19,19,FALSE)+1,FALSE)-VLOOKUP($R11,$A$2:$G$18,HLOOKUP(S$1,$B$1:$G$19,19,FALSE)+2,FALSE))&lt;0,TRUE,FALSE)
=
IF((VLOOKUP($R11,'Ergebnisse Basisszenario'!$A$2:$G$20,HLOOKUP(S$1,'Ergebnisse Basisszenario'!$B$1:$G$21,21,FALSE)+1,FALSE)-VLOOKUP($R11,'Ergebnisse Basisszenario'!$A$2:$G$20,HLOOKUP(S$1,'Ergebnisse Basisszenario'!$B$1:$G$21,21,FALSE)+2,FALSE))&lt;0,TRUE,FALSE),
TRUE,FALSE)</f>
        <v>1</v>
      </c>
      <c r="T11" s="185" t="b">
        <f>IF(
IF((VLOOKUP($R11,$A$2:$G$18,HLOOKUP(T$1,$B$1:$G$19,19,FALSE)+1,FALSE)-VLOOKUP($R11,$A$2:$G$18,HLOOKUP(T$1,$B$1:$G$19,19,FALSE)+2,FALSE))&lt;0,TRUE,FALSE)
=
IF((VLOOKUP($R11,'Ergebnisse Basisszenario'!$A$2:$G$20,HLOOKUP(T$1,'Ergebnisse Basisszenario'!$B$1:$G$21,21,FALSE)+1,FALSE)-VLOOKUP($R11,'Ergebnisse Basisszenario'!$A$2:$G$20,HLOOKUP(T$1,'Ergebnisse Basisszenario'!$B$1:$G$21,21,FALSE)+2,FALSE))&lt;0,TRUE,FALSE),
TRUE,FALSE)</f>
        <v>1</v>
      </c>
      <c r="U11" s="185" t="b">
        <f>IF(
IF((VLOOKUP($R11,$A$2:$G$18,HLOOKUP(U$1,$B$1:$G$19,19,FALSE)+1,FALSE)-VLOOKUP($R11,$A$2:$G$18,HLOOKUP(U$1,$B$1:$G$19,19,FALSE)+2,FALSE))&lt;0,TRUE,FALSE)
=
IF((VLOOKUP($R11,'Ergebnisse Basisszenario'!$A$2:$G$20,HLOOKUP(U$1,'Ergebnisse Basisszenario'!$B$1:$G$21,21,FALSE)+1,FALSE)-VLOOKUP($R11,'Ergebnisse Basisszenario'!$A$2:$G$20,HLOOKUP(U$1,'Ergebnisse Basisszenario'!$B$1:$G$21,21,FALSE)+2,FALSE))&lt;0,TRUE,FALSE),
TRUE,FALSE)</f>
        <v>1</v>
      </c>
    </row>
    <row r="12" spans="1:21" x14ac:dyDescent="0.3">
      <c r="A12" s="185" t="s">
        <v>921</v>
      </c>
      <c r="B12" s="191">
        <v>6.4970969434418144</v>
      </c>
      <c r="C12" s="191">
        <v>4.4516033757563687</v>
      </c>
      <c r="D12" s="191">
        <v>5.5545264921094786</v>
      </c>
      <c r="E12" s="191">
        <v>5.0451966543540196</v>
      </c>
      <c r="F12" s="191">
        <v>18.108718080567229</v>
      </c>
      <c r="G12" s="191">
        <v>7.6042637054239934</v>
      </c>
      <c r="H12" s="185" t="s">
        <v>922</v>
      </c>
      <c r="J12" s="185" t="s">
        <v>921</v>
      </c>
      <c r="K12" s="192">
        <f>(
VLOOKUP($J12,$A$2:$G$18,HLOOKUP(K$1,$B$1:$G$19,19,FALSE)+1,FALSE)
-
VLOOKUP($J12,'Ergebnisse Basisszenario'!$A$1:$H$21,HLOOKUP(K$1,'Ergebnisse Basisszenario'!$B$1:$G$21,21,FALSE)+1,FALSE)
)
/
VLOOKUP($J12,'Ergebnisse Basisszenario'!$A$1:$H$21,HLOOKUP(K$1,'Ergebnisse Basisszenario'!$B$1:$G$21,21,FALSE)+1,FALSE)</f>
        <v>5.3306266716403566E-2</v>
      </c>
      <c r="L12" s="192">
        <f>(
VLOOKUP($J12,$A$2:$G$18,HLOOKUP(L$1,$B$1:$G$19,19,FALSE)+1,FALSE)
-
VLOOKUP($J12,'Ergebnisse Basisszenario'!$A$1:$H$21,HLOOKUP(L$1,'Ergebnisse Basisszenario'!$B$1:$G$21,21,FALSE)+1,FALSE)
)
/
VLOOKUP($J12,'Ergebnisse Basisszenario'!$A$1:$H$21,HLOOKUP(L$1,'Ergebnisse Basisszenario'!$B$1:$G$21,21,FALSE)+1,FALSE)</f>
        <v>-1.6161020181517248E-14</v>
      </c>
      <c r="M12" s="192">
        <f>(
VLOOKUP($J12,$A$2:$G$18,HLOOKUP(M$1,$B$1:$G$19,19,FALSE)+1,FALSE)
-
VLOOKUP($J12,'Ergebnisse Basisszenario'!$A$1:$H$21,HLOOKUP(M$1,'Ergebnisse Basisszenario'!$B$1:$G$21,21,FALSE)+1,FALSE)
)
/
VLOOKUP($J12,'Ergebnisse Basisszenario'!$A$1:$H$21,HLOOKUP(M$1,'Ergebnisse Basisszenario'!$B$1:$G$21,21,FALSE)+1,FALSE)</f>
        <v>3.0501017947343969E-2</v>
      </c>
      <c r="N12" s="192">
        <f>(
VLOOKUP($J12,$A$2:$G$18,HLOOKUP(N$1,$B$1:$G$19,19,FALSE)+1,FALSE)
-
VLOOKUP($J12,'Ergebnisse Basisszenario'!$A$1:$H$21,HLOOKUP(N$1,'Ergebnisse Basisszenario'!$B$1:$G$21,21,FALSE)+1,FALSE)
)
/
VLOOKUP($J12,'Ergebnisse Basisszenario'!$A$1:$H$21,HLOOKUP(N$1,'Ergebnisse Basisszenario'!$B$1:$G$21,21,FALSE)+1,FALSE)</f>
        <v>3.520887214311557E-16</v>
      </c>
      <c r="O12" s="192">
        <f>(
VLOOKUP($J12,$A$2:$G$18,HLOOKUP(O$1,$B$1:$G$19,19,FALSE)+1,FALSE)
-
VLOOKUP($J12,'Ergebnisse Basisszenario'!$A$1:$H$21,HLOOKUP(O$1,'Ergebnisse Basisszenario'!$B$1:$G$21,21,FALSE)+1,FALSE)
)
/
VLOOKUP($J12,'Ergebnisse Basisszenario'!$A$1:$H$21,HLOOKUP(O$1,'Ergebnisse Basisszenario'!$B$1:$G$21,21,FALSE)+1,FALSE)</f>
        <v>1.7552363810389039E-2</v>
      </c>
      <c r="P12" s="192">
        <f>(
VLOOKUP($J12,$A$2:$G$18,HLOOKUP(P$1,$B$1:$G$19,19,FALSE)+1,FALSE)
-
VLOOKUP($J12,'Ergebnisse Basisszenario'!$A$1:$H$21,HLOOKUP(P$1,'Ergebnisse Basisszenario'!$B$1:$G$21,21,FALSE)+1,FALSE)
)
/
VLOOKUP($J12,'Ergebnisse Basisszenario'!$A$1:$H$21,HLOOKUP(P$1,'Ergebnisse Basisszenario'!$B$1:$G$21,21,FALSE)+1,FALSE)</f>
        <v>9.6944045723360063E-15</v>
      </c>
      <c r="R12" s="185" t="s">
        <v>921</v>
      </c>
      <c r="S12" s="185" t="b">
        <f>IF(
IF((VLOOKUP($R12,$A$2:$G$18,HLOOKUP(S$1,$B$1:$G$19,19,FALSE)+1,FALSE)-VLOOKUP($R12,$A$2:$G$18,HLOOKUP(S$1,$B$1:$G$19,19,FALSE)+2,FALSE))&lt;0,TRUE,FALSE)
=
IF((VLOOKUP($R12,'Ergebnisse Basisszenario'!$A$2:$G$20,HLOOKUP(S$1,'Ergebnisse Basisszenario'!$B$1:$G$21,21,FALSE)+1,FALSE)-VLOOKUP($R12,'Ergebnisse Basisszenario'!$A$2:$G$20,HLOOKUP(S$1,'Ergebnisse Basisszenario'!$B$1:$G$21,21,FALSE)+2,FALSE))&lt;0,TRUE,FALSE),
TRUE,FALSE)</f>
        <v>1</v>
      </c>
      <c r="T12" s="185" t="b">
        <f>IF(
IF((VLOOKUP($R12,$A$2:$G$18,HLOOKUP(T$1,$B$1:$G$19,19,FALSE)+1,FALSE)-VLOOKUP($R12,$A$2:$G$18,HLOOKUP(T$1,$B$1:$G$19,19,FALSE)+2,FALSE))&lt;0,TRUE,FALSE)
=
IF((VLOOKUP($R12,'Ergebnisse Basisszenario'!$A$2:$G$20,HLOOKUP(T$1,'Ergebnisse Basisszenario'!$B$1:$G$21,21,FALSE)+1,FALSE)-VLOOKUP($R12,'Ergebnisse Basisszenario'!$A$2:$G$20,HLOOKUP(T$1,'Ergebnisse Basisszenario'!$B$1:$G$21,21,FALSE)+2,FALSE))&lt;0,TRUE,FALSE),
TRUE,FALSE)</f>
        <v>1</v>
      </c>
      <c r="U12" s="185" t="b">
        <f>IF(
IF((VLOOKUP($R12,$A$2:$G$18,HLOOKUP(U$1,$B$1:$G$19,19,FALSE)+1,FALSE)-VLOOKUP($R12,$A$2:$G$18,HLOOKUP(U$1,$B$1:$G$19,19,FALSE)+2,FALSE))&lt;0,TRUE,FALSE)
=
IF((VLOOKUP($R12,'Ergebnisse Basisszenario'!$A$2:$G$20,HLOOKUP(U$1,'Ergebnisse Basisszenario'!$B$1:$G$21,21,FALSE)+1,FALSE)-VLOOKUP($R12,'Ergebnisse Basisszenario'!$A$2:$G$20,HLOOKUP(U$1,'Ergebnisse Basisszenario'!$B$1:$G$21,21,FALSE)+2,FALSE))&lt;0,TRUE,FALSE),
TRUE,FALSE)</f>
        <v>1</v>
      </c>
    </row>
    <row r="13" spans="1:21" x14ac:dyDescent="0.3">
      <c r="A13" s="185" t="s">
        <v>923</v>
      </c>
      <c r="B13" s="191">
        <v>3295.8589528863731</v>
      </c>
      <c r="C13" s="191">
        <v>144.0829386471118</v>
      </c>
      <c r="D13" s="191">
        <v>215.89693993415469</v>
      </c>
      <c r="E13" s="191">
        <v>133.32349662346039</v>
      </c>
      <c r="F13" s="191">
        <v>6396.4547914951554</v>
      </c>
      <c r="G13" s="191">
        <v>197.6798797048223</v>
      </c>
      <c r="H13" s="185" t="s">
        <v>924</v>
      </c>
      <c r="J13" s="185" t="s">
        <v>923</v>
      </c>
      <c r="K13" s="192">
        <f>(
VLOOKUP($J13,$A$2:$G$18,HLOOKUP(K$1,$B$1:$G$19,19,FALSE)+1,FALSE)
-
VLOOKUP($J13,'Ergebnisse Basisszenario'!$A$1:$H$21,HLOOKUP(K$1,'Ergebnisse Basisszenario'!$B$1:$G$21,21,FALSE)+1,FALSE)
)
/
VLOOKUP($J13,'Ergebnisse Basisszenario'!$A$1:$H$21,HLOOKUP(K$1,'Ergebnisse Basisszenario'!$B$1:$G$21,21,FALSE)+1,FALSE)</f>
        <v>8.2327404440124888E-3</v>
      </c>
      <c r="L13" s="192">
        <f>(
VLOOKUP($J13,$A$2:$G$18,HLOOKUP(L$1,$B$1:$G$19,19,FALSE)+1,FALSE)
-
VLOOKUP($J13,'Ergebnisse Basisszenario'!$A$1:$H$21,HLOOKUP(L$1,'Ergebnisse Basisszenario'!$B$1:$G$21,21,FALSE)+1,FALSE)
)
/
VLOOKUP($J13,'Ergebnisse Basisszenario'!$A$1:$H$21,HLOOKUP(L$1,'Ergebnisse Basisszenario'!$B$1:$G$21,21,FALSE)+1,FALSE)</f>
        <v>7.8903747236900911E-16</v>
      </c>
      <c r="M13" s="192">
        <f>(
VLOOKUP($J13,$A$2:$G$18,HLOOKUP(M$1,$B$1:$G$19,19,FALSE)+1,FALSE)
-
VLOOKUP($J13,'Ergebnisse Basisszenario'!$A$1:$H$21,HLOOKUP(M$1,'Ergebnisse Basisszenario'!$B$1:$G$21,21,FALSE)+1,FALSE)
)
/
VLOOKUP($J13,'Ergebnisse Basisszenario'!$A$1:$H$21,HLOOKUP(M$1,'Ergebnisse Basisszenario'!$B$1:$G$21,21,FALSE)+1,FALSE)</f>
        <v>6.6469792195703939E-2</v>
      </c>
      <c r="N13" s="192">
        <f>(
VLOOKUP($J13,$A$2:$G$18,HLOOKUP(N$1,$B$1:$G$19,19,FALSE)+1,FALSE)
-
VLOOKUP($J13,'Ergebnisse Basisszenario'!$A$1:$H$21,HLOOKUP(N$1,'Ergebnisse Basisszenario'!$B$1:$G$21,21,FALSE)+1,FALSE)
)
/
VLOOKUP($J13,'Ergebnisse Basisszenario'!$A$1:$H$21,HLOOKUP(N$1,'Ergebnisse Basisszenario'!$B$1:$G$21,21,FALSE)+1,FALSE)</f>
        <v>-8.52714192177967E-16</v>
      </c>
      <c r="O13" s="192">
        <f>(
VLOOKUP($J13,$A$2:$G$18,HLOOKUP(O$1,$B$1:$G$19,19,FALSE)+1,FALSE)
-
VLOOKUP($J13,'Ergebnisse Basisszenario'!$A$1:$H$21,HLOOKUP(O$1,'Ergebnisse Basisszenario'!$B$1:$G$21,21,FALSE)+1,FALSE)
)
/
VLOOKUP($J13,'Ergebnisse Basisszenario'!$A$1:$H$21,HLOOKUP(O$1,'Ergebnisse Basisszenario'!$B$1:$G$21,21,FALSE)+1,FALSE)</f>
        <v>4.0130620833579746E-3</v>
      </c>
      <c r="P13" s="192">
        <f>(
VLOOKUP($J13,$A$2:$G$18,HLOOKUP(P$1,$B$1:$G$19,19,FALSE)+1,FALSE)
-
VLOOKUP($J13,'Ergebnisse Basisszenario'!$A$1:$H$21,HLOOKUP(P$1,'Ergebnisse Basisszenario'!$B$1:$G$21,21,FALSE)+1,FALSE)
)
/
VLOOKUP($J13,'Ergebnisse Basisszenario'!$A$1:$H$21,HLOOKUP(P$1,'Ergebnisse Basisszenario'!$B$1:$G$21,21,FALSE)+1,FALSE)</f>
        <v>-5.7510576135201191E-16</v>
      </c>
      <c r="R13" s="185" t="s">
        <v>923</v>
      </c>
      <c r="S13" s="185" t="b">
        <f>IF(
IF((VLOOKUP($R13,$A$2:$G$18,HLOOKUP(S$1,$B$1:$G$19,19,FALSE)+1,FALSE)-VLOOKUP($R13,$A$2:$G$18,HLOOKUP(S$1,$B$1:$G$19,19,FALSE)+2,FALSE))&lt;0,TRUE,FALSE)
=
IF((VLOOKUP($R13,'Ergebnisse Basisszenario'!$A$2:$G$20,HLOOKUP(S$1,'Ergebnisse Basisszenario'!$B$1:$G$21,21,FALSE)+1,FALSE)-VLOOKUP($R13,'Ergebnisse Basisszenario'!$A$2:$G$20,HLOOKUP(S$1,'Ergebnisse Basisszenario'!$B$1:$G$21,21,FALSE)+2,FALSE))&lt;0,TRUE,FALSE),
TRUE,FALSE)</f>
        <v>1</v>
      </c>
      <c r="T13" s="185" t="b">
        <f>IF(
IF((VLOOKUP($R13,$A$2:$G$18,HLOOKUP(T$1,$B$1:$G$19,19,FALSE)+1,FALSE)-VLOOKUP($R13,$A$2:$G$18,HLOOKUP(T$1,$B$1:$G$19,19,FALSE)+2,FALSE))&lt;0,TRUE,FALSE)
=
IF((VLOOKUP($R13,'Ergebnisse Basisszenario'!$A$2:$G$20,HLOOKUP(T$1,'Ergebnisse Basisszenario'!$B$1:$G$21,21,FALSE)+1,FALSE)-VLOOKUP($R13,'Ergebnisse Basisszenario'!$A$2:$G$20,HLOOKUP(T$1,'Ergebnisse Basisszenario'!$B$1:$G$21,21,FALSE)+2,FALSE))&lt;0,TRUE,FALSE),
TRUE,FALSE)</f>
        <v>1</v>
      </c>
      <c r="U13" s="185" t="b">
        <f>IF(
IF((VLOOKUP($R13,$A$2:$G$18,HLOOKUP(U$1,$B$1:$G$19,19,FALSE)+1,FALSE)-VLOOKUP($R13,$A$2:$G$18,HLOOKUP(U$1,$B$1:$G$19,19,FALSE)+2,FALSE))&lt;0,TRUE,FALSE)
=
IF((VLOOKUP($R13,'Ergebnisse Basisszenario'!$A$2:$G$20,HLOOKUP(U$1,'Ergebnisse Basisszenario'!$B$1:$G$21,21,FALSE)+1,FALSE)-VLOOKUP($R13,'Ergebnisse Basisszenario'!$A$2:$G$20,HLOOKUP(U$1,'Ergebnisse Basisszenario'!$B$1:$G$21,21,FALSE)+2,FALSE))&lt;0,TRUE,FALSE),
TRUE,FALSE)</f>
        <v>1</v>
      </c>
    </row>
    <row r="14" spans="1:21" x14ac:dyDescent="0.3">
      <c r="A14" s="185" t="s">
        <v>925</v>
      </c>
      <c r="B14" s="191">
        <v>8.6585108605068172E-4</v>
      </c>
      <c r="C14" s="191">
        <v>3.480526125971276E-4</v>
      </c>
      <c r="D14" s="191">
        <v>3.5862614952268402E-4</v>
      </c>
      <c r="E14" s="191">
        <v>3.5068917978307602E-4</v>
      </c>
      <c r="F14" s="191">
        <v>1.6409700549339589E-3</v>
      </c>
      <c r="G14" s="191">
        <v>5.1653977546422636E-4</v>
      </c>
      <c r="H14" s="185" t="s">
        <v>926</v>
      </c>
      <c r="J14" s="185" t="s">
        <v>925</v>
      </c>
      <c r="K14" s="192">
        <f>(
VLOOKUP($J14,$A$2:$G$18,HLOOKUP(K$1,$B$1:$G$19,19,FALSE)+1,FALSE)
-
VLOOKUP($J14,'Ergebnisse Basisszenario'!$A$1:$H$21,HLOOKUP(K$1,'Ergebnisse Basisszenario'!$B$1:$G$21,21,FALSE)+1,FALSE)
)
/
VLOOKUP($J14,'Ergebnisse Basisszenario'!$A$1:$H$21,HLOOKUP(K$1,'Ergebnisse Basisszenario'!$B$1:$G$21,21,FALSE)+1,FALSE)</f>
        <v>1.2879683072937201E-2</v>
      </c>
      <c r="L14" s="192">
        <f>(
VLOOKUP($J14,$A$2:$G$18,HLOOKUP(L$1,$B$1:$G$19,19,FALSE)+1,FALSE)
-
VLOOKUP($J14,'Ergebnisse Basisszenario'!$A$1:$H$21,HLOOKUP(L$1,'Ergebnisse Basisszenario'!$B$1:$G$21,21,FALSE)+1,FALSE)
)
/
VLOOKUP($J14,'Ergebnisse Basisszenario'!$A$1:$H$21,HLOOKUP(L$1,'Ergebnisse Basisszenario'!$B$1:$G$21,21,FALSE)+1,FALSE)</f>
        <v>-9.3451575989789125E-16</v>
      </c>
      <c r="M14" s="192">
        <f>(
VLOOKUP($J14,$A$2:$G$18,HLOOKUP(M$1,$B$1:$G$19,19,FALSE)+1,FALSE)
-
VLOOKUP($J14,'Ergebnisse Basisszenario'!$A$1:$H$21,HLOOKUP(M$1,'Ergebnisse Basisszenario'!$B$1:$G$21,21,FALSE)+1,FALSE)
)
/
VLOOKUP($J14,'Ergebnisse Basisszenario'!$A$1:$H$21,HLOOKUP(M$1,'Ergebnisse Basisszenario'!$B$1:$G$21,21,FALSE)+1,FALSE)</f>
        <v>1.5589667315388987E-2</v>
      </c>
      <c r="N14" s="192">
        <f>(
VLOOKUP($J14,$A$2:$G$18,HLOOKUP(N$1,$B$1:$G$19,19,FALSE)+1,FALSE)
-
VLOOKUP($J14,'Ergebnisse Basisszenario'!$A$1:$H$21,HLOOKUP(N$1,'Ergebnisse Basisszenario'!$B$1:$G$21,21,FALSE)+1,FALSE)
)
/
VLOOKUP($J14,'Ergebnisse Basisszenario'!$A$1:$H$21,HLOOKUP(N$1,'Ergebnisse Basisszenario'!$B$1:$G$21,21,FALSE)+1,FALSE)</f>
        <v>-4.6374492071133473E-16</v>
      </c>
      <c r="O14" s="192">
        <f>(
VLOOKUP($J14,$A$2:$G$18,HLOOKUP(O$1,$B$1:$G$19,19,FALSE)+1,FALSE)
-
VLOOKUP($J14,'Ergebnisse Basisszenario'!$A$1:$H$21,HLOOKUP(O$1,'Ergebnisse Basisszenario'!$B$1:$G$21,21,FALSE)+1,FALSE)
)
/
VLOOKUP($J14,'Ergebnisse Basisszenario'!$A$1:$H$21,HLOOKUP(O$1,'Ergebnisse Basisszenario'!$B$1:$G$21,21,FALSE)+1,FALSE)</f>
        <v>6.4149095032177746E-3</v>
      </c>
      <c r="P14" s="192">
        <f>(
VLOOKUP($J14,$A$2:$G$18,HLOOKUP(P$1,$B$1:$G$19,19,FALSE)+1,FALSE)
-
VLOOKUP($J14,'Ergebnisse Basisszenario'!$A$1:$H$21,HLOOKUP(P$1,'Ergebnisse Basisszenario'!$B$1:$G$21,21,FALSE)+1,FALSE)
)
/
VLOOKUP($J14,'Ergebnisse Basisszenario'!$A$1:$H$21,HLOOKUP(P$1,'Ergebnisse Basisszenario'!$B$1:$G$21,21,FALSE)+1,FALSE)</f>
        <v>-6.2969139492371481E-16</v>
      </c>
      <c r="R14" s="185" t="s">
        <v>925</v>
      </c>
      <c r="S14" s="185" t="b">
        <f>IF(
IF((VLOOKUP($R14,$A$2:$G$18,HLOOKUP(S$1,$B$1:$G$19,19,FALSE)+1,FALSE)-VLOOKUP($R14,$A$2:$G$18,HLOOKUP(S$1,$B$1:$G$19,19,FALSE)+2,FALSE))&lt;0,TRUE,FALSE)
=
IF((VLOOKUP($R14,'Ergebnisse Basisszenario'!$A$2:$G$20,HLOOKUP(S$1,'Ergebnisse Basisszenario'!$B$1:$G$21,21,FALSE)+1,FALSE)-VLOOKUP($R14,'Ergebnisse Basisszenario'!$A$2:$G$20,HLOOKUP(S$1,'Ergebnisse Basisszenario'!$B$1:$G$21,21,FALSE)+2,FALSE))&lt;0,TRUE,FALSE),
TRUE,FALSE)</f>
        <v>1</v>
      </c>
      <c r="T14" s="185" t="b">
        <f>IF(
IF((VLOOKUP($R14,$A$2:$G$18,HLOOKUP(T$1,$B$1:$G$19,19,FALSE)+1,FALSE)-VLOOKUP($R14,$A$2:$G$18,HLOOKUP(T$1,$B$1:$G$19,19,FALSE)+2,FALSE))&lt;0,TRUE,FALSE)
=
IF((VLOOKUP($R14,'Ergebnisse Basisszenario'!$A$2:$G$20,HLOOKUP(T$1,'Ergebnisse Basisszenario'!$B$1:$G$21,21,FALSE)+1,FALSE)-VLOOKUP($R14,'Ergebnisse Basisszenario'!$A$2:$G$20,HLOOKUP(T$1,'Ergebnisse Basisszenario'!$B$1:$G$21,21,FALSE)+2,FALSE))&lt;0,TRUE,FALSE),
TRUE,FALSE)</f>
        <v>1</v>
      </c>
      <c r="U14" s="185" t="b">
        <f>IF(
IF((VLOOKUP($R14,$A$2:$G$18,HLOOKUP(U$1,$B$1:$G$19,19,FALSE)+1,FALSE)-VLOOKUP($R14,$A$2:$G$18,HLOOKUP(U$1,$B$1:$G$19,19,FALSE)+2,FALSE))&lt;0,TRUE,FALSE)
=
IF((VLOOKUP($R14,'Ergebnisse Basisszenario'!$A$2:$G$20,HLOOKUP(U$1,'Ergebnisse Basisszenario'!$B$1:$G$21,21,FALSE)+1,FALSE)-VLOOKUP($R14,'Ergebnisse Basisszenario'!$A$2:$G$20,HLOOKUP(U$1,'Ergebnisse Basisszenario'!$B$1:$G$21,21,FALSE)+2,FALSE))&lt;0,TRUE,FALSE),
TRUE,FALSE)</f>
        <v>1</v>
      </c>
    </row>
    <row r="15" spans="1:21" x14ac:dyDescent="0.3">
      <c r="A15" s="185" t="s">
        <v>927</v>
      </c>
      <c r="B15" s="191">
        <v>7.8167014871560786E-6</v>
      </c>
      <c r="C15" s="191">
        <v>4.7380706577290914E-6</v>
      </c>
      <c r="D15" s="191">
        <v>4.9727615514016046E-6</v>
      </c>
      <c r="E15" s="191">
        <v>5.1017049474516524E-6</v>
      </c>
      <c r="F15" s="191">
        <v>1.903179257910834E-5</v>
      </c>
      <c r="G15" s="191">
        <v>7.7128952182561026E-6</v>
      </c>
      <c r="H15" s="185" t="s">
        <v>928</v>
      </c>
      <c r="J15" s="185" t="s">
        <v>927</v>
      </c>
      <c r="K15" s="192">
        <f>(
VLOOKUP($J15,$A$2:$G$18,HLOOKUP(K$1,$B$1:$G$19,19,FALSE)+1,FALSE)
-
VLOOKUP($J15,'Ergebnisse Basisszenario'!$A$1:$H$21,HLOOKUP(K$1,'Ergebnisse Basisszenario'!$B$1:$G$21,21,FALSE)+1,FALSE)
)
/
VLOOKUP($J15,'Ergebnisse Basisszenario'!$A$1:$H$21,HLOOKUP(K$1,'Ergebnisse Basisszenario'!$B$1:$G$21,21,FALSE)+1,FALSE)</f>
        <v>7.8121029309611387E-2</v>
      </c>
      <c r="L15" s="192">
        <f>(
VLOOKUP($J15,$A$2:$G$18,HLOOKUP(L$1,$B$1:$G$19,19,FALSE)+1,FALSE)
-
VLOOKUP($J15,'Ergebnisse Basisszenario'!$A$1:$H$21,HLOOKUP(L$1,'Ergebnisse Basisszenario'!$B$1:$G$21,21,FALSE)+1,FALSE)
)
/
VLOOKUP($J15,'Ergebnisse Basisszenario'!$A$1:$H$21,HLOOKUP(L$1,'Ergebnisse Basisszenario'!$B$1:$G$21,21,FALSE)+1,FALSE)</f>
        <v>0</v>
      </c>
      <c r="M15" s="192">
        <f>(
VLOOKUP($J15,$A$2:$G$18,HLOOKUP(M$1,$B$1:$G$19,19,FALSE)+1,FALSE)
-
VLOOKUP($J15,'Ergebnisse Basisszenario'!$A$1:$H$21,HLOOKUP(M$1,'Ergebnisse Basisszenario'!$B$1:$G$21,21,FALSE)+1,FALSE)
)
/
VLOOKUP($J15,'Ergebnisse Basisszenario'!$A$1:$H$21,HLOOKUP(M$1,'Ergebnisse Basisszenario'!$B$1:$G$21,21,FALSE)+1,FALSE)</f>
        <v>6.0389547304192076E-2</v>
      </c>
      <c r="N15" s="192">
        <f>(
VLOOKUP($J15,$A$2:$G$18,HLOOKUP(N$1,$B$1:$G$19,19,FALSE)+1,FALSE)
-
VLOOKUP($J15,'Ergebnisse Basisszenario'!$A$1:$H$21,HLOOKUP(N$1,'Ergebnisse Basisszenario'!$B$1:$G$21,21,FALSE)+1,FALSE)
)
/
VLOOKUP($J15,'Ergebnisse Basisszenario'!$A$1:$H$21,HLOOKUP(N$1,'Ergebnisse Basisszenario'!$B$1:$G$21,21,FALSE)+1,FALSE)</f>
        <v>0</v>
      </c>
      <c r="O15" s="192">
        <f>(
VLOOKUP($J15,$A$2:$G$18,HLOOKUP(O$1,$B$1:$G$19,19,FALSE)+1,FALSE)
-
VLOOKUP($J15,'Ergebnisse Basisszenario'!$A$1:$H$21,HLOOKUP(O$1,'Ergebnisse Basisszenario'!$B$1:$G$21,21,FALSE)+1,FALSE)
)
/
VLOOKUP($J15,'Ergebnisse Basisszenario'!$A$1:$H$21,HLOOKUP(O$1,'Ergebnisse Basisszenario'!$B$1:$G$21,21,FALSE)+1,FALSE)</f>
        <v>2.9095343516566039E-2</v>
      </c>
      <c r="P15" s="192">
        <f>(
VLOOKUP($J15,$A$2:$G$18,HLOOKUP(P$1,$B$1:$G$19,19,FALSE)+1,FALSE)
-
VLOOKUP($J15,'Ergebnisse Basisszenario'!$A$1:$H$21,HLOOKUP(P$1,'Ergebnisse Basisszenario'!$B$1:$G$21,21,FALSE)+1,FALSE)
)
/
VLOOKUP($J15,'Ergebnisse Basisszenario'!$A$1:$H$21,HLOOKUP(P$1,'Ergebnisse Basisszenario'!$B$1:$G$21,21,FALSE)+1,FALSE)</f>
        <v>0</v>
      </c>
      <c r="R15" s="185" t="s">
        <v>927</v>
      </c>
      <c r="S15" s="185" t="b">
        <f>IF(
IF((VLOOKUP($R15,$A$2:$G$18,HLOOKUP(S$1,$B$1:$G$19,19,FALSE)+1,FALSE)-VLOOKUP($R15,$A$2:$G$18,HLOOKUP(S$1,$B$1:$G$19,19,FALSE)+2,FALSE))&lt;0,TRUE,FALSE)
=
IF((VLOOKUP($R15,'Ergebnisse Basisszenario'!$A$2:$G$20,HLOOKUP(S$1,'Ergebnisse Basisszenario'!$B$1:$G$21,21,FALSE)+1,FALSE)-VLOOKUP($R15,'Ergebnisse Basisszenario'!$A$2:$G$20,HLOOKUP(S$1,'Ergebnisse Basisszenario'!$B$1:$G$21,21,FALSE)+2,FALSE))&lt;0,TRUE,FALSE),
TRUE,FALSE)</f>
        <v>1</v>
      </c>
      <c r="T15" s="185" t="b">
        <f>IF(
IF((VLOOKUP($R15,$A$2:$G$18,HLOOKUP(T$1,$B$1:$G$19,19,FALSE)+1,FALSE)-VLOOKUP($R15,$A$2:$G$18,HLOOKUP(T$1,$B$1:$G$19,19,FALSE)+2,FALSE))&lt;0,TRUE,FALSE)
=
IF((VLOOKUP($R15,'Ergebnisse Basisszenario'!$A$2:$G$20,HLOOKUP(T$1,'Ergebnisse Basisszenario'!$B$1:$G$21,21,FALSE)+1,FALSE)-VLOOKUP($R15,'Ergebnisse Basisszenario'!$A$2:$G$20,HLOOKUP(T$1,'Ergebnisse Basisszenario'!$B$1:$G$21,21,FALSE)+2,FALSE))&lt;0,TRUE,FALSE),
TRUE,FALSE)</f>
        <v>1</v>
      </c>
      <c r="U15" s="185" t="b">
        <f>IF(
IF((VLOOKUP($R15,$A$2:$G$18,HLOOKUP(U$1,$B$1:$G$19,19,FALSE)+1,FALSE)-VLOOKUP($R15,$A$2:$G$18,HLOOKUP(U$1,$B$1:$G$19,19,FALSE)+2,FALSE))&lt;0,TRUE,FALSE)
=
IF((VLOOKUP($R15,'Ergebnisse Basisszenario'!$A$2:$G$20,HLOOKUP(U$1,'Ergebnisse Basisszenario'!$B$1:$G$21,21,FALSE)+1,FALSE)-VLOOKUP($R15,'Ergebnisse Basisszenario'!$A$2:$G$20,HLOOKUP(U$1,'Ergebnisse Basisszenario'!$B$1:$G$21,21,FALSE)+2,FALSE))&lt;0,TRUE,FALSE),
TRUE,FALSE)</f>
        <v>1</v>
      </c>
    </row>
    <row r="16" spans="1:21" x14ac:dyDescent="0.3">
      <c r="A16" s="185" t="s">
        <v>929</v>
      </c>
      <c r="B16" s="191">
        <v>6.4550556552430587E-6</v>
      </c>
      <c r="C16" s="191">
        <v>9.601596115973404E-7</v>
      </c>
      <c r="D16" s="191">
        <v>2.176981175355078E-6</v>
      </c>
      <c r="E16" s="191">
        <v>9.3746099383097403E-7</v>
      </c>
      <c r="F16" s="191">
        <v>7.8795525438047679E-6</v>
      </c>
      <c r="G16" s="191">
        <v>1.3156209723990561E-6</v>
      </c>
      <c r="H16" s="185" t="s">
        <v>930</v>
      </c>
      <c r="J16" s="185" t="s">
        <v>929</v>
      </c>
      <c r="K16" s="192">
        <f>(
VLOOKUP($J16,$A$2:$G$18,HLOOKUP(K$1,$B$1:$G$19,19,FALSE)+1,FALSE)
-
VLOOKUP($J16,'Ergebnisse Basisszenario'!$A$1:$H$21,HLOOKUP(K$1,'Ergebnisse Basisszenario'!$B$1:$G$21,21,FALSE)+1,FALSE)
)
/
VLOOKUP($J16,'Ergebnisse Basisszenario'!$A$1:$H$21,HLOOKUP(K$1,'Ergebnisse Basisszenario'!$B$1:$G$21,21,FALSE)+1,FALSE)</f>
        <v>3.5271959513749528E-2</v>
      </c>
      <c r="L16" s="192">
        <f>(
VLOOKUP($J16,$A$2:$G$18,HLOOKUP(L$1,$B$1:$G$19,19,FALSE)+1,FALSE)
-
VLOOKUP($J16,'Ergebnisse Basisszenario'!$A$1:$H$21,HLOOKUP(L$1,'Ergebnisse Basisszenario'!$B$1:$G$21,21,FALSE)+1,FALSE)
)
/
VLOOKUP($J16,'Ergebnisse Basisszenario'!$A$1:$H$21,HLOOKUP(L$1,'Ergebnisse Basisszenario'!$B$1:$G$21,21,FALSE)+1,FALSE)</f>
        <v>-4.4108965687754733E-16</v>
      </c>
      <c r="M16" s="192">
        <f>(
VLOOKUP($J16,$A$2:$G$18,HLOOKUP(M$1,$B$1:$G$19,19,FALSE)+1,FALSE)
-
VLOOKUP($J16,'Ergebnisse Basisszenario'!$A$1:$H$21,HLOOKUP(M$1,'Ergebnisse Basisszenario'!$B$1:$G$21,21,FALSE)+1,FALSE)
)
/
VLOOKUP($J16,'Ergebnisse Basisszenario'!$A$1:$H$21,HLOOKUP(M$1,'Ergebnisse Basisszenario'!$B$1:$G$21,21,FALSE)+1,FALSE)</f>
        <v>5.3198668071227688E-2</v>
      </c>
      <c r="N16" s="192">
        <f>(
VLOOKUP($J16,$A$2:$G$18,HLOOKUP(N$1,$B$1:$G$19,19,FALSE)+1,FALSE)
-
VLOOKUP($J16,'Ergebnisse Basisszenario'!$A$1:$H$21,HLOOKUP(N$1,'Ergebnisse Basisszenario'!$B$1:$G$21,21,FALSE)+1,FALSE)
)
/
VLOOKUP($J16,'Ergebnisse Basisszenario'!$A$1:$H$21,HLOOKUP(N$1,'Ergebnisse Basisszenario'!$B$1:$G$21,21,FALSE)+1,FALSE)</f>
        <v>0</v>
      </c>
      <c r="O16" s="192">
        <f>(
VLOOKUP($J16,$A$2:$G$18,HLOOKUP(O$1,$B$1:$G$19,19,FALSE)+1,FALSE)
-
VLOOKUP($J16,'Ergebnisse Basisszenario'!$A$1:$H$21,HLOOKUP(O$1,'Ergebnisse Basisszenario'!$B$1:$G$21,21,FALSE)+1,FALSE)
)
/
VLOOKUP($J16,'Ergebnisse Basisszenario'!$A$1:$H$21,HLOOKUP(O$1,'Ergebnisse Basisszenario'!$B$1:$G$21,21,FALSE)+1,FALSE)</f>
        <v>2.7237551444852966E-2</v>
      </c>
      <c r="P16" s="192">
        <f>(
VLOOKUP($J16,$A$2:$G$18,HLOOKUP(P$1,$B$1:$G$19,19,FALSE)+1,FALSE)
-
VLOOKUP($J16,'Ergebnisse Basisszenario'!$A$1:$H$21,HLOOKUP(P$1,'Ergebnisse Basisszenario'!$B$1:$G$21,21,FALSE)+1,FALSE)
)
/
VLOOKUP($J16,'Ergebnisse Basisszenario'!$A$1:$H$21,HLOOKUP(P$1,'Ergebnisse Basisszenario'!$B$1:$G$21,21,FALSE)+1,FALSE)</f>
        <v>8.0478436136294894E-16</v>
      </c>
      <c r="R16" s="185" t="s">
        <v>929</v>
      </c>
      <c r="S16" s="185" t="b">
        <f>IF(
IF((VLOOKUP($R16,$A$2:$G$18,HLOOKUP(S$1,$B$1:$G$19,19,FALSE)+1,FALSE)-VLOOKUP($R16,$A$2:$G$18,HLOOKUP(S$1,$B$1:$G$19,19,FALSE)+2,FALSE))&lt;0,TRUE,FALSE)
=
IF((VLOOKUP($R16,'Ergebnisse Basisszenario'!$A$2:$G$20,HLOOKUP(S$1,'Ergebnisse Basisszenario'!$B$1:$G$21,21,FALSE)+1,FALSE)-VLOOKUP($R16,'Ergebnisse Basisszenario'!$A$2:$G$20,HLOOKUP(S$1,'Ergebnisse Basisszenario'!$B$1:$G$21,21,FALSE)+2,FALSE))&lt;0,TRUE,FALSE),
TRUE,FALSE)</f>
        <v>1</v>
      </c>
      <c r="T16" s="185" t="b">
        <f>IF(
IF((VLOOKUP($R16,$A$2:$G$18,HLOOKUP(T$1,$B$1:$G$19,19,FALSE)+1,FALSE)-VLOOKUP($R16,$A$2:$G$18,HLOOKUP(T$1,$B$1:$G$19,19,FALSE)+2,FALSE))&lt;0,TRUE,FALSE)
=
IF((VLOOKUP($R16,'Ergebnisse Basisszenario'!$A$2:$G$20,HLOOKUP(T$1,'Ergebnisse Basisszenario'!$B$1:$G$21,21,FALSE)+1,FALSE)-VLOOKUP($R16,'Ergebnisse Basisszenario'!$A$2:$G$20,HLOOKUP(T$1,'Ergebnisse Basisszenario'!$B$1:$G$21,21,FALSE)+2,FALSE))&lt;0,TRUE,FALSE),
TRUE,FALSE)</f>
        <v>1</v>
      </c>
      <c r="U16" s="185" t="b">
        <f>IF(
IF((VLOOKUP($R16,$A$2:$G$18,HLOOKUP(U$1,$B$1:$G$19,19,FALSE)+1,FALSE)-VLOOKUP($R16,$A$2:$G$18,HLOOKUP(U$1,$B$1:$G$19,19,FALSE)+2,FALSE))&lt;0,TRUE,FALSE)
=
IF((VLOOKUP($R16,'Ergebnisse Basisszenario'!$A$2:$G$20,HLOOKUP(U$1,'Ergebnisse Basisszenario'!$B$1:$G$21,21,FALSE)+1,FALSE)-VLOOKUP($R16,'Ergebnisse Basisszenario'!$A$2:$G$20,HLOOKUP(U$1,'Ergebnisse Basisszenario'!$B$1:$G$21,21,FALSE)+2,FALSE))&lt;0,TRUE,FALSE),
TRUE,FALSE)</f>
        <v>1</v>
      </c>
    </row>
    <row r="17" spans="1:21" x14ac:dyDescent="0.3">
      <c r="A17" s="185" t="s">
        <v>931</v>
      </c>
      <c r="B17" s="191">
        <v>0.37444039374254029</v>
      </c>
      <c r="C17" s="191">
        <v>0.1003163546362681</v>
      </c>
      <c r="D17" s="191">
        <v>0.19703005263808049</v>
      </c>
      <c r="E17" s="191">
        <v>0.1084147719420253</v>
      </c>
      <c r="F17" s="191">
        <v>0.5859391027999783</v>
      </c>
      <c r="G17" s="191">
        <v>0.15563732060707491</v>
      </c>
      <c r="H17" s="185" t="s">
        <v>932</v>
      </c>
      <c r="J17" s="185" t="s">
        <v>931</v>
      </c>
      <c r="K17" s="192">
        <f>(
VLOOKUP($J17,$A$2:$G$18,HLOOKUP(K$1,$B$1:$G$19,19,FALSE)+1,FALSE)
-
VLOOKUP($J17,'Ergebnisse Basisszenario'!$A$1:$H$21,HLOOKUP(K$1,'Ergebnisse Basisszenario'!$B$1:$G$21,21,FALSE)+1,FALSE)
)
/
VLOOKUP($J17,'Ergebnisse Basisszenario'!$A$1:$H$21,HLOOKUP(K$1,'Ergebnisse Basisszenario'!$B$1:$G$21,21,FALSE)+1,FALSE)</f>
        <v>5.8072186998067793E-2</v>
      </c>
      <c r="L17" s="192">
        <f>(
VLOOKUP($J17,$A$2:$G$18,HLOOKUP(L$1,$B$1:$G$19,19,FALSE)+1,FALSE)
-
VLOOKUP($J17,'Ergebnisse Basisszenario'!$A$1:$H$21,HLOOKUP(L$1,'Ergebnisse Basisszenario'!$B$1:$G$21,21,FALSE)+1,FALSE)
)
/
VLOOKUP($J17,'Ergebnisse Basisszenario'!$A$1:$H$21,HLOOKUP(L$1,'Ergebnisse Basisszenario'!$B$1:$G$21,21,FALSE)+1,FALSE)</f>
        <v>1.1067218587145218E-15</v>
      </c>
      <c r="M17" s="192">
        <f>(
VLOOKUP($J17,$A$2:$G$18,HLOOKUP(M$1,$B$1:$G$19,19,FALSE)+1,FALSE)
-
VLOOKUP($J17,'Ergebnisse Basisszenario'!$A$1:$H$21,HLOOKUP(M$1,'Ergebnisse Basisszenario'!$B$1:$G$21,21,FALSE)+1,FALSE)
)
/
VLOOKUP($J17,'Ergebnisse Basisszenario'!$A$1:$H$21,HLOOKUP(M$1,'Ergebnisse Basisszenario'!$B$1:$G$21,21,FALSE)+1,FALSE)</f>
        <v>5.5021766221837527E-2</v>
      </c>
      <c r="N17" s="192">
        <f>(
VLOOKUP($J17,$A$2:$G$18,HLOOKUP(N$1,$B$1:$G$19,19,FALSE)+1,FALSE)
-
VLOOKUP($J17,'Ergebnisse Basisszenario'!$A$1:$H$21,HLOOKUP(N$1,'Ergebnisse Basisszenario'!$B$1:$G$21,21,FALSE)+1,FALSE)
)
/
VLOOKUP($J17,'Ergebnisse Basisszenario'!$A$1:$H$21,HLOOKUP(N$1,'Ergebnisse Basisszenario'!$B$1:$G$21,21,FALSE)+1,FALSE)</f>
        <v>0</v>
      </c>
      <c r="O17" s="192">
        <f>(
VLOOKUP($J17,$A$2:$G$18,HLOOKUP(O$1,$B$1:$G$19,19,FALSE)+1,FALSE)
-
VLOOKUP($J17,'Ergebnisse Basisszenario'!$A$1:$H$21,HLOOKUP(O$1,'Ergebnisse Basisszenario'!$B$1:$G$21,21,FALSE)+1,FALSE)
)
/
VLOOKUP($J17,'Ergebnisse Basisszenario'!$A$1:$H$21,HLOOKUP(O$1,'Ergebnisse Basisszenario'!$B$1:$G$21,21,FALSE)+1,FALSE)</f>
        <v>3.4468630278376308E-2</v>
      </c>
      <c r="P17" s="192">
        <f>(
VLOOKUP($J17,$A$2:$G$18,HLOOKUP(P$1,$B$1:$G$19,19,FALSE)+1,FALSE)
-
VLOOKUP($J17,'Ergebnisse Basisszenario'!$A$1:$H$21,HLOOKUP(P$1,'Ergebnisse Basisszenario'!$B$1:$G$21,21,FALSE)+1,FALSE)
)
/
VLOOKUP($J17,'Ergebnisse Basisszenario'!$A$1:$H$21,HLOOKUP(P$1,'Ergebnisse Basisszenario'!$B$1:$G$21,21,FALSE)+1,FALSE)</f>
        <v>-5.3500488521711022E-16</v>
      </c>
      <c r="R17" s="185" t="s">
        <v>931</v>
      </c>
      <c r="S17" s="185" t="b">
        <f>IF(
IF((VLOOKUP($R17,$A$2:$G$18,HLOOKUP(S$1,$B$1:$G$19,19,FALSE)+1,FALSE)-VLOOKUP($R17,$A$2:$G$18,HLOOKUP(S$1,$B$1:$G$19,19,FALSE)+2,FALSE))&lt;0,TRUE,FALSE)
=
IF((VLOOKUP($R17,'Ergebnisse Basisszenario'!$A$2:$G$20,HLOOKUP(S$1,'Ergebnisse Basisszenario'!$B$1:$G$21,21,FALSE)+1,FALSE)-VLOOKUP($R17,'Ergebnisse Basisszenario'!$A$2:$G$20,HLOOKUP(S$1,'Ergebnisse Basisszenario'!$B$1:$G$21,21,FALSE)+2,FALSE))&lt;0,TRUE,FALSE),
TRUE,FALSE)</f>
        <v>1</v>
      </c>
      <c r="T17" s="185" t="b">
        <f>IF(
IF((VLOOKUP($R17,$A$2:$G$18,HLOOKUP(T$1,$B$1:$G$19,19,FALSE)+1,FALSE)-VLOOKUP($R17,$A$2:$G$18,HLOOKUP(T$1,$B$1:$G$19,19,FALSE)+2,FALSE))&lt;0,TRUE,FALSE)
=
IF((VLOOKUP($R17,'Ergebnisse Basisszenario'!$A$2:$G$20,HLOOKUP(T$1,'Ergebnisse Basisszenario'!$B$1:$G$21,21,FALSE)+1,FALSE)-VLOOKUP($R17,'Ergebnisse Basisszenario'!$A$2:$G$20,HLOOKUP(T$1,'Ergebnisse Basisszenario'!$B$1:$G$21,21,FALSE)+2,FALSE))&lt;0,TRUE,FALSE),
TRUE,FALSE)</f>
        <v>1</v>
      </c>
      <c r="U17" s="185" t="b">
        <f>IF(
IF((VLOOKUP($R17,$A$2:$G$18,HLOOKUP(U$1,$B$1:$G$19,19,FALSE)+1,FALSE)-VLOOKUP($R17,$A$2:$G$18,HLOOKUP(U$1,$B$1:$G$19,19,FALSE)+2,FALSE))&lt;0,TRUE,FALSE)
=
IF((VLOOKUP($R17,'Ergebnisse Basisszenario'!$A$2:$G$20,HLOOKUP(U$1,'Ergebnisse Basisszenario'!$B$1:$G$21,21,FALSE)+1,FALSE)-VLOOKUP($R17,'Ergebnisse Basisszenario'!$A$2:$G$20,HLOOKUP(U$1,'Ergebnisse Basisszenario'!$B$1:$G$21,21,FALSE)+2,FALSE))&lt;0,TRUE,FALSE),
TRUE,FALSE)</f>
        <v>1</v>
      </c>
    </row>
    <row r="18" spans="1:21" x14ac:dyDescent="0.3">
      <c r="A18" s="185" t="s">
        <v>933</v>
      </c>
      <c r="B18" s="191">
        <v>39.455802034016408</v>
      </c>
      <c r="C18" s="191">
        <v>10.6454099233185</v>
      </c>
      <c r="D18" s="191">
        <v>22.475309706314391</v>
      </c>
      <c r="E18" s="191">
        <v>11.51274914059475</v>
      </c>
      <c r="F18" s="191">
        <v>65.752195545725584</v>
      </c>
      <c r="G18" s="191">
        <v>15.866095117759199</v>
      </c>
      <c r="H18" s="185" t="s">
        <v>934</v>
      </c>
      <c r="J18" s="185" t="s">
        <v>933</v>
      </c>
      <c r="K18" s="192">
        <f>(
VLOOKUP($J18,$A$2:$G$18,HLOOKUP(K$1,$B$1:$G$19,19,FALSE)+1,FALSE)
-
VLOOKUP($J18,'Ergebnisse Basisszenario'!$A$1:$H$21,HLOOKUP(K$1,'Ergebnisse Basisszenario'!$B$1:$G$21,21,FALSE)+1,FALSE)
)
/
VLOOKUP($J18,'Ergebnisse Basisszenario'!$A$1:$H$21,HLOOKUP(K$1,'Ergebnisse Basisszenario'!$B$1:$G$21,21,FALSE)+1,FALSE)</f>
        <v>9.0919987913108073E-3</v>
      </c>
      <c r="L18" s="192">
        <f>(
VLOOKUP($J18,$A$2:$G$18,HLOOKUP(L$1,$B$1:$G$19,19,FALSE)+1,FALSE)
-
VLOOKUP($J18,'Ergebnisse Basisszenario'!$A$1:$H$21,HLOOKUP(L$1,'Ergebnisse Basisszenario'!$B$1:$G$21,21,FALSE)+1,FALSE)
)
/
VLOOKUP($J18,'Ergebnisse Basisszenario'!$A$1:$H$21,HLOOKUP(L$1,'Ergebnisse Basisszenario'!$B$1:$G$21,21,FALSE)+1,FALSE)</f>
        <v>0</v>
      </c>
      <c r="M18" s="192">
        <f>(
VLOOKUP($J18,$A$2:$G$18,HLOOKUP(M$1,$B$1:$G$19,19,FALSE)+1,FALSE)
-
VLOOKUP($J18,'Ergebnisse Basisszenario'!$A$1:$H$21,HLOOKUP(M$1,'Ergebnisse Basisszenario'!$B$1:$G$21,21,FALSE)+1,FALSE)
)
/
VLOOKUP($J18,'Ergebnisse Basisszenario'!$A$1:$H$21,HLOOKUP(M$1,'Ergebnisse Basisszenario'!$B$1:$G$21,21,FALSE)+1,FALSE)</f>
        <v>7.9717220993591568E-3</v>
      </c>
      <c r="N18" s="192">
        <f>(
VLOOKUP($J18,$A$2:$G$18,HLOOKUP(N$1,$B$1:$G$19,19,FALSE)+1,FALSE)
-
VLOOKUP($J18,'Ergebnisse Basisszenario'!$A$1:$H$21,HLOOKUP(N$1,'Ergebnisse Basisszenario'!$B$1:$G$21,21,FALSE)+1,FALSE)
)
/
VLOOKUP($J18,'Ergebnisse Basisszenario'!$A$1:$H$21,HLOOKUP(N$1,'Ergebnisse Basisszenario'!$B$1:$G$21,21,FALSE)+1,FALSE)</f>
        <v>0</v>
      </c>
      <c r="O18" s="192">
        <f>(
VLOOKUP($J18,$A$2:$G$18,HLOOKUP(O$1,$B$1:$G$19,19,FALSE)+1,FALSE)
-
VLOOKUP($J18,'Ergebnisse Basisszenario'!$A$1:$H$21,HLOOKUP(O$1,'Ergebnisse Basisszenario'!$B$1:$G$21,21,FALSE)+1,FALSE)
)
/
VLOOKUP($J18,'Ergebnisse Basisszenario'!$A$1:$H$21,HLOOKUP(O$1,'Ergebnisse Basisszenario'!$B$1:$G$21,21,FALSE)+1,FALSE)</f>
        <v>5.162847019147758E-3</v>
      </c>
      <c r="P18" s="192">
        <f>(
VLOOKUP($J18,$A$2:$G$18,HLOOKUP(P$1,$B$1:$G$19,19,FALSE)+1,FALSE)
-
VLOOKUP($J18,'Ergebnisse Basisszenario'!$A$1:$H$21,HLOOKUP(P$1,'Ergebnisse Basisszenario'!$B$1:$G$21,21,FALSE)+1,FALSE)
)
/
VLOOKUP($J18,'Ergebnisse Basisszenario'!$A$1:$H$21,HLOOKUP(P$1,'Ergebnisse Basisszenario'!$B$1:$G$21,21,FALSE)+1,FALSE)</f>
        <v>0</v>
      </c>
      <c r="R18" s="185" t="s">
        <v>933</v>
      </c>
      <c r="S18" s="185" t="b">
        <f>IF(
IF((VLOOKUP($R18,$A$2:$G$18,HLOOKUP(S$1,$B$1:$G$19,19,FALSE)+1,FALSE)-VLOOKUP($R18,$A$2:$G$18,HLOOKUP(S$1,$B$1:$G$19,19,FALSE)+2,FALSE))&lt;0,TRUE,FALSE)
=
IF((VLOOKUP($R18,'Ergebnisse Basisszenario'!$A$2:$G$20,HLOOKUP(S$1,'Ergebnisse Basisszenario'!$B$1:$G$21,21,FALSE)+1,FALSE)-VLOOKUP($R18,'Ergebnisse Basisszenario'!$A$2:$G$20,HLOOKUP(S$1,'Ergebnisse Basisszenario'!$B$1:$G$21,21,FALSE)+2,FALSE))&lt;0,TRUE,FALSE),
TRUE,FALSE)</f>
        <v>1</v>
      </c>
      <c r="T18" s="185" t="b">
        <f>IF(
IF((VLOOKUP($R18,$A$2:$G$18,HLOOKUP(T$1,$B$1:$G$19,19,FALSE)+1,FALSE)-VLOOKUP($R18,$A$2:$G$18,HLOOKUP(T$1,$B$1:$G$19,19,FALSE)+2,FALSE))&lt;0,TRUE,FALSE)
=
IF((VLOOKUP($R18,'Ergebnisse Basisszenario'!$A$2:$G$20,HLOOKUP(T$1,'Ergebnisse Basisszenario'!$B$1:$G$21,21,FALSE)+1,FALSE)-VLOOKUP($R18,'Ergebnisse Basisszenario'!$A$2:$G$20,HLOOKUP(T$1,'Ergebnisse Basisszenario'!$B$1:$G$21,21,FALSE)+2,FALSE))&lt;0,TRUE,FALSE),
TRUE,FALSE)</f>
        <v>1</v>
      </c>
      <c r="U18" s="185" t="b">
        <f>IF(
IF((VLOOKUP($R18,$A$2:$G$18,HLOOKUP(U$1,$B$1:$G$19,19,FALSE)+1,FALSE)-VLOOKUP($R18,$A$2:$G$18,HLOOKUP(U$1,$B$1:$G$19,19,FALSE)+2,FALSE))&lt;0,TRUE,FALSE)
=
IF((VLOOKUP($R18,'Ergebnisse Basisszenario'!$A$2:$G$20,HLOOKUP(U$1,'Ergebnisse Basisszenario'!$B$1:$G$21,21,FALSE)+1,FALSE)-VLOOKUP($R18,'Ergebnisse Basisszenario'!$A$2:$G$20,HLOOKUP(U$1,'Ergebnisse Basisszenario'!$B$1:$G$21,21,FALSE)+2,FALSE))&lt;0,TRUE,FALSE),
TRUE,FALSE)</f>
        <v>1</v>
      </c>
    </row>
    <row r="19" spans="1:21" x14ac:dyDescent="0.3">
      <c r="B19" s="185">
        <v>1</v>
      </c>
      <c r="C19" s="185">
        <v>2</v>
      </c>
      <c r="D19" s="185">
        <v>3</v>
      </c>
      <c r="E19" s="185">
        <v>4</v>
      </c>
      <c r="F19" s="185">
        <v>5</v>
      </c>
      <c r="G19" s="185">
        <v>6</v>
      </c>
    </row>
    <row r="21" spans="1:21" x14ac:dyDescent="0.3">
      <c r="A21" s="186" t="s">
        <v>938</v>
      </c>
      <c r="B21" s="247" cm="1">
        <f t="array" ref="B21">SUMPRODUCT((B2:B18&lt;C2:C18)*1)</f>
        <v>0</v>
      </c>
      <c r="C21" s="247"/>
      <c r="D21" s="247" cm="1">
        <f t="array" ref="D21">SUMPRODUCT((D2:D18&lt;E2:E18)*1)</f>
        <v>2</v>
      </c>
      <c r="E21" s="247"/>
      <c r="F21" s="247" cm="1">
        <f t="array" ref="F21">SUMPRODUCT((F2:F18&lt;G2:G18)*1)</f>
        <v>0</v>
      </c>
      <c r="G21" s="247"/>
    </row>
    <row r="22" spans="1:21" x14ac:dyDescent="0.3">
      <c r="A22" s="208" t="s">
        <v>1000</v>
      </c>
    </row>
    <row r="23" spans="1:21" x14ac:dyDescent="0.3">
      <c r="A23" s="207" t="s">
        <v>903</v>
      </c>
    </row>
    <row r="24" spans="1:21" x14ac:dyDescent="0.3">
      <c r="A24" s="186"/>
      <c r="B24" s="247" t="s">
        <v>898</v>
      </c>
      <c r="C24" s="247"/>
      <c r="D24" s="247" t="s">
        <v>899</v>
      </c>
      <c r="E24" s="247"/>
      <c r="F24" s="247" t="s">
        <v>900</v>
      </c>
      <c r="G24" s="247"/>
    </row>
    <row r="25" spans="1:21" x14ac:dyDescent="0.3">
      <c r="B25" s="185" t="s">
        <v>660</v>
      </c>
      <c r="C25" s="185" t="s">
        <v>669</v>
      </c>
      <c r="D25" s="185" t="s">
        <v>660</v>
      </c>
      <c r="E25" s="185" t="s">
        <v>669</v>
      </c>
      <c r="F25" s="185" t="s">
        <v>660</v>
      </c>
      <c r="G25" s="185" t="s">
        <v>669</v>
      </c>
    </row>
    <row r="26" spans="1:21" x14ac:dyDescent="0.3">
      <c r="A26" s="185" t="s">
        <v>939</v>
      </c>
      <c r="B26" s="188">
        <f>VLOOKUP($A$23,$A$2:$G$18,2,FALSE)</f>
        <v>97.353420878128716</v>
      </c>
      <c r="C26" s="188">
        <f>VLOOKUP($A$23,$A$2:$G$18,3,FALSE)</f>
        <v>51.451796087851079</v>
      </c>
      <c r="D26" s="188">
        <f>VLOOKUP($A$23,$A$2:$G$18,4,FALSE)</f>
        <v>102.4225416599879</v>
      </c>
      <c r="E26" s="188">
        <f>VLOOKUP($A$23,$A$2:$G$18,5,FALSE)</f>
        <v>60.622517652332903</v>
      </c>
      <c r="F26" s="188">
        <f>VLOOKUP($A$23,$A$2:$G$18,6,FALSE)</f>
        <v>221.22761580186739</v>
      </c>
      <c r="G26" s="188">
        <f>VLOOKUP($A$23,$A$2:$G$18,7,FALSE)</f>
        <v>86.750703793861035</v>
      </c>
    </row>
    <row r="27" spans="1:21" x14ac:dyDescent="0.3">
      <c r="A27" s="185" t="s">
        <v>940</v>
      </c>
      <c r="B27" s="188">
        <f>VLOOKUP($A$23,'Ergebnisse Basisszenario'!$A$2:$G$20,2,FALSE)</f>
        <v>94.428134249607126</v>
      </c>
      <c r="C27" s="188">
        <f>VLOOKUP($A$23,'Ergebnisse Basisszenario'!$A$2:$G$20,3,FALSE)</f>
        <v>51.451796087851058</v>
      </c>
      <c r="D27" s="188">
        <f>VLOOKUP($A$23,'Ergebnisse Basisszenario'!$A$2:$G$20,4,FALSE)</f>
        <v>100.959898345727</v>
      </c>
      <c r="E27" s="188">
        <f>VLOOKUP($A$23,'Ergebnisse Basisszenario'!$A$2:$G$20,5,FALSE)</f>
        <v>60.622517652332903</v>
      </c>
      <c r="F27" s="188">
        <f>VLOOKUP($A$23,'Ergebnisse Basisszenario'!$A$2:$G$20,6,FALSE)</f>
        <v>218.4485935047714</v>
      </c>
      <c r="G27" s="188">
        <f>VLOOKUP($A$23,'Ergebnisse Basisszenario'!$A$2:$G$20,7,FALSE)</f>
        <v>86.750703793861035</v>
      </c>
    </row>
    <row r="28" spans="1:21" x14ac:dyDescent="0.3">
      <c r="A28" s="185" t="s">
        <v>941</v>
      </c>
      <c r="B28" s="185">
        <f>B26-B27</f>
        <v>2.9252866285215902</v>
      </c>
      <c r="C28" s="185">
        <f t="shared" ref="C28:G28" si="0">C26-C27</f>
        <v>0</v>
      </c>
      <c r="D28" s="185">
        <f t="shared" si="0"/>
        <v>1.4626433142609017</v>
      </c>
      <c r="E28" s="185">
        <f t="shared" si="0"/>
        <v>0</v>
      </c>
      <c r="F28" s="185">
        <f t="shared" si="0"/>
        <v>2.7790222970959917</v>
      </c>
      <c r="G28" s="185">
        <f t="shared" si="0"/>
        <v>0</v>
      </c>
    </row>
    <row r="29" spans="1:21" x14ac:dyDescent="0.3">
      <c r="A29" s="185" t="s">
        <v>942</v>
      </c>
      <c r="B29" s="185">
        <f>IF(B28&gt;0,B28,0)</f>
        <v>2.9252866285215902</v>
      </c>
      <c r="C29" s="185">
        <f t="shared" ref="C29:G29" si="1">IF(C28&gt;0,C28,0)</f>
        <v>0</v>
      </c>
      <c r="D29" s="185">
        <f t="shared" si="1"/>
        <v>1.4626433142609017</v>
      </c>
      <c r="E29" s="185">
        <f t="shared" si="1"/>
        <v>0</v>
      </c>
      <c r="F29" s="185">
        <f t="shared" si="1"/>
        <v>2.7790222970959917</v>
      </c>
      <c r="G29" s="185">
        <f t="shared" si="1"/>
        <v>0</v>
      </c>
    </row>
    <row r="30" spans="1:21" x14ac:dyDescent="0.3">
      <c r="A30" s="185" t="s">
        <v>943</v>
      </c>
      <c r="B30" s="185">
        <f>IF(B28&lt;0,B28,0)*(-1)</f>
        <v>0</v>
      </c>
      <c r="C30" s="185">
        <f t="shared" ref="C30:G30" si="2">IF(C28&lt;0,C28,0)*(-1)</f>
        <v>0</v>
      </c>
      <c r="D30" s="185">
        <f t="shared" si="2"/>
        <v>0</v>
      </c>
      <c r="E30" s="185">
        <f t="shared" si="2"/>
        <v>0</v>
      </c>
      <c r="F30" s="185">
        <f t="shared" si="2"/>
        <v>0</v>
      </c>
      <c r="G30" s="185">
        <f t="shared" si="2"/>
        <v>0</v>
      </c>
    </row>
    <row r="31" spans="1:21" x14ac:dyDescent="0.3">
      <c r="A31" s="185" t="s">
        <v>944</v>
      </c>
      <c r="B31" s="185">
        <f>IF(B26&lt;B27,B26,B27)</f>
        <v>94.428134249607126</v>
      </c>
      <c r="C31" s="185">
        <f t="shared" ref="C31:G31" si="3">IF(C26&lt;C27,C26,C27)</f>
        <v>51.451796087851058</v>
      </c>
      <c r="D31" s="185">
        <f t="shared" si="3"/>
        <v>100.959898345727</v>
      </c>
      <c r="E31" s="185">
        <f t="shared" si="3"/>
        <v>60.622517652332903</v>
      </c>
      <c r="F31" s="185">
        <f t="shared" si="3"/>
        <v>218.4485935047714</v>
      </c>
      <c r="G31" s="185">
        <f t="shared" si="3"/>
        <v>86.750703793861035</v>
      </c>
    </row>
    <row r="32" spans="1:21" x14ac:dyDescent="0.3">
      <c r="A32" s="185" t="s">
        <v>945</v>
      </c>
      <c r="B32" s="201">
        <f>B28/B27</f>
        <v>3.0978973075852772E-2</v>
      </c>
      <c r="C32" s="201">
        <f t="shared" ref="C32:G32" si="4">C28/C27</f>
        <v>0</v>
      </c>
      <c r="D32" s="201">
        <f t="shared" si="4"/>
        <v>1.4487369126028901E-2</v>
      </c>
      <c r="E32" s="201">
        <f t="shared" si="4"/>
        <v>0</v>
      </c>
      <c r="F32" s="201">
        <f t="shared" si="4"/>
        <v>1.2721630533342352E-2</v>
      </c>
      <c r="G32" s="201">
        <f t="shared" si="4"/>
        <v>0</v>
      </c>
    </row>
    <row r="33" spans="1:7" x14ac:dyDescent="0.3">
      <c r="A33" s="185" t="s">
        <v>946</v>
      </c>
      <c r="B33" s="188">
        <f>SUM(B29:B31)+SUM(B29:B31)*0.05</f>
        <v>102.22109192203516</v>
      </c>
      <c r="C33" s="188">
        <f t="shared" ref="C33:G33" si="5">SUM(C29:C31)+SUM(C29:C31)*0.05</f>
        <v>54.024385892243615</v>
      </c>
      <c r="D33" s="188">
        <f t="shared" si="5"/>
        <v>107.54366874298729</v>
      </c>
      <c r="E33" s="188">
        <f t="shared" si="5"/>
        <v>63.653643534949545</v>
      </c>
      <c r="F33" s="188">
        <f t="shared" si="5"/>
        <v>232.28899659196077</v>
      </c>
      <c r="G33" s="188">
        <f t="shared" si="5"/>
        <v>91.088238983554092</v>
      </c>
    </row>
  </sheetData>
  <mergeCells count="6">
    <mergeCell ref="B21:C21"/>
    <mergeCell ref="D21:E21"/>
    <mergeCell ref="F21:G21"/>
    <mergeCell ref="B24:C24"/>
    <mergeCell ref="D24:E24"/>
    <mergeCell ref="F24:G24"/>
  </mergeCells>
  <conditionalFormatting sqref="B2:C2">
    <cfRule type="colorScale" priority="53">
      <colorScale>
        <cfvo type="min"/>
        <cfvo type="percentile" val="50"/>
        <cfvo type="max"/>
        <color rgb="FF63BE7B"/>
        <color rgb="FFFFEB84"/>
        <color rgb="FFF8696B"/>
      </colorScale>
    </cfRule>
  </conditionalFormatting>
  <conditionalFormatting sqref="B3:C3">
    <cfRule type="colorScale" priority="52">
      <colorScale>
        <cfvo type="min"/>
        <cfvo type="percentile" val="50"/>
        <cfvo type="max"/>
        <color rgb="FF63BE7B"/>
        <color rgb="FFFFEB84"/>
        <color rgb="FFF8696B"/>
      </colorScale>
    </cfRule>
  </conditionalFormatting>
  <conditionalFormatting sqref="B4:C4">
    <cfRule type="colorScale" priority="51">
      <colorScale>
        <cfvo type="min"/>
        <cfvo type="percentile" val="50"/>
        <cfvo type="max"/>
        <color rgb="FF63BE7B"/>
        <color rgb="FFFFEB84"/>
        <color rgb="FFF8696B"/>
      </colorScale>
    </cfRule>
  </conditionalFormatting>
  <conditionalFormatting sqref="B5:C5">
    <cfRule type="colorScale" priority="50">
      <colorScale>
        <cfvo type="min"/>
        <cfvo type="percentile" val="50"/>
        <cfvo type="max"/>
        <color rgb="FF63BE7B"/>
        <color rgb="FFFFEB84"/>
        <color rgb="FFF8696B"/>
      </colorScale>
    </cfRule>
  </conditionalFormatting>
  <conditionalFormatting sqref="B6:C6">
    <cfRule type="colorScale" priority="49">
      <colorScale>
        <cfvo type="min"/>
        <cfvo type="percentile" val="50"/>
        <cfvo type="max"/>
        <color rgb="FF63BE7B"/>
        <color rgb="FFFFEB84"/>
        <color rgb="FFF8696B"/>
      </colorScale>
    </cfRule>
  </conditionalFormatting>
  <conditionalFormatting sqref="B7:C7">
    <cfRule type="colorScale" priority="48">
      <colorScale>
        <cfvo type="min"/>
        <cfvo type="percentile" val="50"/>
        <cfvo type="max"/>
        <color rgb="FF63BE7B"/>
        <color rgb="FFFFEB84"/>
        <color rgb="FFF8696B"/>
      </colorScale>
    </cfRule>
  </conditionalFormatting>
  <conditionalFormatting sqref="B8:C8">
    <cfRule type="colorScale" priority="47">
      <colorScale>
        <cfvo type="min"/>
        <cfvo type="percentile" val="50"/>
        <cfvo type="max"/>
        <color rgb="FF63BE7B"/>
        <color rgb="FFFFEB84"/>
        <color rgb="FFF8696B"/>
      </colorScale>
    </cfRule>
  </conditionalFormatting>
  <conditionalFormatting sqref="B9:C9">
    <cfRule type="colorScale" priority="46">
      <colorScale>
        <cfvo type="min"/>
        <cfvo type="percentile" val="50"/>
        <cfvo type="max"/>
        <color rgb="FF63BE7B"/>
        <color rgb="FFFFEB84"/>
        <color rgb="FFF8696B"/>
      </colorScale>
    </cfRule>
  </conditionalFormatting>
  <conditionalFormatting sqref="B10:C10">
    <cfRule type="colorScale" priority="45">
      <colorScale>
        <cfvo type="min"/>
        <cfvo type="percentile" val="50"/>
        <cfvo type="max"/>
        <color rgb="FF63BE7B"/>
        <color rgb="FFFFEB84"/>
        <color rgb="FFF8696B"/>
      </colorScale>
    </cfRule>
  </conditionalFormatting>
  <conditionalFormatting sqref="B11:C11">
    <cfRule type="colorScale" priority="44">
      <colorScale>
        <cfvo type="min"/>
        <cfvo type="percentile" val="50"/>
        <cfvo type="max"/>
        <color rgb="FF63BE7B"/>
        <color rgb="FFFFEB84"/>
        <color rgb="FFF8696B"/>
      </colorScale>
    </cfRule>
  </conditionalFormatting>
  <conditionalFormatting sqref="B12:C12">
    <cfRule type="colorScale" priority="43">
      <colorScale>
        <cfvo type="min"/>
        <cfvo type="percentile" val="50"/>
        <cfvo type="max"/>
        <color rgb="FF63BE7B"/>
        <color rgb="FFFFEB84"/>
        <color rgb="FFF8696B"/>
      </colorScale>
    </cfRule>
  </conditionalFormatting>
  <conditionalFormatting sqref="B13:C13">
    <cfRule type="colorScale" priority="42">
      <colorScale>
        <cfvo type="min"/>
        <cfvo type="percentile" val="50"/>
        <cfvo type="max"/>
        <color rgb="FF63BE7B"/>
        <color rgb="FFFFEB84"/>
        <color rgb="FFF8696B"/>
      </colorScale>
    </cfRule>
  </conditionalFormatting>
  <conditionalFormatting sqref="B14:C14">
    <cfRule type="colorScale" priority="41">
      <colorScale>
        <cfvo type="min"/>
        <cfvo type="percentile" val="50"/>
        <cfvo type="max"/>
        <color rgb="FF63BE7B"/>
        <color rgb="FFFFEB84"/>
        <color rgb="FFF8696B"/>
      </colorScale>
    </cfRule>
  </conditionalFormatting>
  <conditionalFormatting sqref="B15:C15">
    <cfRule type="colorScale" priority="40">
      <colorScale>
        <cfvo type="min"/>
        <cfvo type="percentile" val="50"/>
        <cfvo type="max"/>
        <color rgb="FF63BE7B"/>
        <color rgb="FFFFEB84"/>
        <color rgb="FFF8696B"/>
      </colorScale>
    </cfRule>
  </conditionalFormatting>
  <conditionalFormatting sqref="B16:C16">
    <cfRule type="colorScale" priority="39">
      <colorScale>
        <cfvo type="min"/>
        <cfvo type="percentile" val="50"/>
        <cfvo type="max"/>
        <color rgb="FF63BE7B"/>
        <color rgb="FFFFEB84"/>
        <color rgb="FFF8696B"/>
      </colorScale>
    </cfRule>
  </conditionalFormatting>
  <conditionalFormatting sqref="B17:C17">
    <cfRule type="colorScale" priority="38">
      <colorScale>
        <cfvo type="min"/>
        <cfvo type="percentile" val="50"/>
        <cfvo type="max"/>
        <color rgb="FF63BE7B"/>
        <color rgb="FFFFEB84"/>
        <color rgb="FFF8696B"/>
      </colorScale>
    </cfRule>
  </conditionalFormatting>
  <conditionalFormatting sqref="B18:C18">
    <cfRule type="colorScale" priority="37">
      <colorScale>
        <cfvo type="min"/>
        <cfvo type="percentile" val="50"/>
        <cfvo type="max"/>
        <color rgb="FF63BE7B"/>
        <color rgb="FFFFEB84"/>
        <color rgb="FFF8696B"/>
      </colorScale>
    </cfRule>
  </conditionalFormatting>
  <conditionalFormatting sqref="D2:E2">
    <cfRule type="colorScale" priority="36">
      <colorScale>
        <cfvo type="min"/>
        <cfvo type="percentile" val="50"/>
        <cfvo type="max"/>
        <color rgb="FF63BE7B"/>
        <color rgb="FFFFEB84"/>
        <color rgb="FFF8696B"/>
      </colorScale>
    </cfRule>
  </conditionalFormatting>
  <conditionalFormatting sqref="D3:E3">
    <cfRule type="colorScale" priority="35">
      <colorScale>
        <cfvo type="min"/>
        <cfvo type="percentile" val="50"/>
        <cfvo type="max"/>
        <color rgb="FF63BE7B"/>
        <color rgb="FFFFEB84"/>
        <color rgb="FFF8696B"/>
      </colorScale>
    </cfRule>
  </conditionalFormatting>
  <conditionalFormatting sqref="D4:E4">
    <cfRule type="colorScale" priority="34">
      <colorScale>
        <cfvo type="min"/>
        <cfvo type="percentile" val="50"/>
        <cfvo type="max"/>
        <color rgb="FF63BE7B"/>
        <color rgb="FFFFEB84"/>
        <color rgb="FFF8696B"/>
      </colorScale>
    </cfRule>
  </conditionalFormatting>
  <conditionalFormatting sqref="D5:E5">
    <cfRule type="colorScale" priority="33">
      <colorScale>
        <cfvo type="min"/>
        <cfvo type="percentile" val="50"/>
        <cfvo type="max"/>
        <color rgb="FF63BE7B"/>
        <color rgb="FFFFEB84"/>
        <color rgb="FFF8696B"/>
      </colorScale>
    </cfRule>
  </conditionalFormatting>
  <conditionalFormatting sqref="D6:E6">
    <cfRule type="colorScale" priority="32">
      <colorScale>
        <cfvo type="min"/>
        <cfvo type="percentile" val="50"/>
        <cfvo type="max"/>
        <color rgb="FF63BE7B"/>
        <color rgb="FFFFEB84"/>
        <color rgb="FFF8696B"/>
      </colorScale>
    </cfRule>
  </conditionalFormatting>
  <conditionalFormatting sqref="D7:E7">
    <cfRule type="colorScale" priority="31">
      <colorScale>
        <cfvo type="min"/>
        <cfvo type="percentile" val="50"/>
        <cfvo type="max"/>
        <color rgb="FF63BE7B"/>
        <color rgb="FFFFEB84"/>
        <color rgb="FFF8696B"/>
      </colorScale>
    </cfRule>
  </conditionalFormatting>
  <conditionalFormatting sqref="D8:E8">
    <cfRule type="colorScale" priority="30">
      <colorScale>
        <cfvo type="min"/>
        <cfvo type="percentile" val="50"/>
        <cfvo type="max"/>
        <color rgb="FF63BE7B"/>
        <color rgb="FFFFEB84"/>
        <color rgb="FFF8696B"/>
      </colorScale>
    </cfRule>
  </conditionalFormatting>
  <conditionalFormatting sqref="D9:E9">
    <cfRule type="colorScale" priority="29">
      <colorScale>
        <cfvo type="min"/>
        <cfvo type="percentile" val="50"/>
        <cfvo type="max"/>
        <color rgb="FF63BE7B"/>
        <color rgb="FFFFEB84"/>
        <color rgb="FFF8696B"/>
      </colorScale>
    </cfRule>
  </conditionalFormatting>
  <conditionalFormatting sqref="D10:E10">
    <cfRule type="colorScale" priority="28">
      <colorScale>
        <cfvo type="min"/>
        <cfvo type="percentile" val="50"/>
        <cfvo type="max"/>
        <color rgb="FF63BE7B"/>
        <color rgb="FFFFEB84"/>
        <color rgb="FFF8696B"/>
      </colorScale>
    </cfRule>
  </conditionalFormatting>
  <conditionalFormatting sqref="D11:E11">
    <cfRule type="colorScale" priority="27">
      <colorScale>
        <cfvo type="min"/>
        <cfvo type="percentile" val="50"/>
        <cfvo type="max"/>
        <color rgb="FF63BE7B"/>
        <color rgb="FFFFEB84"/>
        <color rgb="FFF8696B"/>
      </colorScale>
    </cfRule>
  </conditionalFormatting>
  <conditionalFormatting sqref="D12:E12">
    <cfRule type="colorScale" priority="26">
      <colorScale>
        <cfvo type="min"/>
        <cfvo type="percentile" val="50"/>
        <cfvo type="max"/>
        <color rgb="FF63BE7B"/>
        <color rgb="FFFFEB84"/>
        <color rgb="FFF8696B"/>
      </colorScale>
    </cfRule>
  </conditionalFormatting>
  <conditionalFormatting sqref="D13:E13">
    <cfRule type="colorScale" priority="25">
      <colorScale>
        <cfvo type="min"/>
        <cfvo type="percentile" val="50"/>
        <cfvo type="max"/>
        <color rgb="FF63BE7B"/>
        <color rgb="FFFFEB84"/>
        <color rgb="FFF8696B"/>
      </colorScale>
    </cfRule>
  </conditionalFormatting>
  <conditionalFormatting sqref="D14:E14">
    <cfRule type="colorScale" priority="24">
      <colorScale>
        <cfvo type="min"/>
        <cfvo type="percentile" val="50"/>
        <cfvo type="max"/>
        <color rgb="FF63BE7B"/>
        <color rgb="FFFFEB84"/>
        <color rgb="FFF8696B"/>
      </colorScale>
    </cfRule>
  </conditionalFormatting>
  <conditionalFormatting sqref="D15:E15">
    <cfRule type="colorScale" priority="23">
      <colorScale>
        <cfvo type="min"/>
        <cfvo type="percentile" val="50"/>
        <cfvo type="max"/>
        <color rgb="FF63BE7B"/>
        <color rgb="FFFFEB84"/>
        <color rgb="FFF8696B"/>
      </colorScale>
    </cfRule>
  </conditionalFormatting>
  <conditionalFormatting sqref="D16:E16">
    <cfRule type="colorScale" priority="22">
      <colorScale>
        <cfvo type="min"/>
        <cfvo type="percentile" val="50"/>
        <cfvo type="max"/>
        <color rgb="FF63BE7B"/>
        <color rgb="FFFFEB84"/>
        <color rgb="FFF8696B"/>
      </colorScale>
    </cfRule>
  </conditionalFormatting>
  <conditionalFormatting sqref="D17:E17">
    <cfRule type="colorScale" priority="21">
      <colorScale>
        <cfvo type="min"/>
        <cfvo type="percentile" val="50"/>
        <cfvo type="max"/>
        <color rgb="FF63BE7B"/>
        <color rgb="FFFFEB84"/>
        <color rgb="FFF8696B"/>
      </colorScale>
    </cfRule>
  </conditionalFormatting>
  <conditionalFormatting sqref="D18:E18">
    <cfRule type="colorScale" priority="20">
      <colorScale>
        <cfvo type="min"/>
        <cfvo type="percentile" val="50"/>
        <cfvo type="max"/>
        <color rgb="FF63BE7B"/>
        <color rgb="FFFFEB84"/>
        <color rgb="FFF8696B"/>
      </colorScale>
    </cfRule>
  </conditionalFormatting>
  <conditionalFormatting sqref="F2:G2">
    <cfRule type="colorScale" priority="19">
      <colorScale>
        <cfvo type="min"/>
        <cfvo type="percentile" val="50"/>
        <cfvo type="max"/>
        <color rgb="FF63BE7B"/>
        <color rgb="FFFFEB84"/>
        <color rgb="FFF8696B"/>
      </colorScale>
    </cfRule>
  </conditionalFormatting>
  <conditionalFormatting sqref="F3:G3">
    <cfRule type="colorScale" priority="18">
      <colorScale>
        <cfvo type="min"/>
        <cfvo type="percentile" val="50"/>
        <cfvo type="max"/>
        <color rgb="FF63BE7B"/>
        <color rgb="FFFFEB84"/>
        <color rgb="FFF8696B"/>
      </colorScale>
    </cfRule>
  </conditionalFormatting>
  <conditionalFormatting sqref="F4:G4">
    <cfRule type="colorScale" priority="17">
      <colorScale>
        <cfvo type="min"/>
        <cfvo type="percentile" val="50"/>
        <cfvo type="max"/>
        <color rgb="FF63BE7B"/>
        <color rgb="FFFFEB84"/>
        <color rgb="FFF8696B"/>
      </colorScale>
    </cfRule>
  </conditionalFormatting>
  <conditionalFormatting sqref="F5:G5">
    <cfRule type="colorScale" priority="16">
      <colorScale>
        <cfvo type="min"/>
        <cfvo type="percentile" val="50"/>
        <cfvo type="max"/>
        <color rgb="FF63BE7B"/>
        <color rgb="FFFFEB84"/>
        <color rgb="FFF8696B"/>
      </colorScale>
    </cfRule>
  </conditionalFormatting>
  <conditionalFormatting sqref="F6:G6">
    <cfRule type="colorScale" priority="15">
      <colorScale>
        <cfvo type="min"/>
        <cfvo type="percentile" val="50"/>
        <cfvo type="max"/>
        <color rgb="FF63BE7B"/>
        <color rgb="FFFFEB84"/>
        <color rgb="FFF8696B"/>
      </colorScale>
    </cfRule>
  </conditionalFormatting>
  <conditionalFormatting sqref="F7:G7">
    <cfRule type="colorScale" priority="14">
      <colorScale>
        <cfvo type="min"/>
        <cfvo type="percentile" val="50"/>
        <cfvo type="max"/>
        <color rgb="FF63BE7B"/>
        <color rgb="FFFFEB84"/>
        <color rgb="FFF8696B"/>
      </colorScale>
    </cfRule>
  </conditionalFormatting>
  <conditionalFormatting sqref="F8:G8">
    <cfRule type="colorScale" priority="13">
      <colorScale>
        <cfvo type="min"/>
        <cfvo type="percentile" val="50"/>
        <cfvo type="max"/>
        <color rgb="FF63BE7B"/>
        <color rgb="FFFFEB84"/>
        <color rgb="FFF8696B"/>
      </colorScale>
    </cfRule>
  </conditionalFormatting>
  <conditionalFormatting sqref="F9:G9">
    <cfRule type="colorScale" priority="12">
      <colorScale>
        <cfvo type="min"/>
        <cfvo type="percentile" val="50"/>
        <cfvo type="max"/>
        <color rgb="FF63BE7B"/>
        <color rgb="FFFFEB84"/>
        <color rgb="FFF8696B"/>
      </colorScale>
    </cfRule>
  </conditionalFormatting>
  <conditionalFormatting sqref="F10:G10">
    <cfRule type="colorScale" priority="11">
      <colorScale>
        <cfvo type="min"/>
        <cfvo type="percentile" val="50"/>
        <cfvo type="max"/>
        <color rgb="FF63BE7B"/>
        <color rgb="FFFFEB84"/>
        <color rgb="FFF8696B"/>
      </colorScale>
    </cfRule>
  </conditionalFormatting>
  <conditionalFormatting sqref="F11:G11">
    <cfRule type="colorScale" priority="10">
      <colorScale>
        <cfvo type="min"/>
        <cfvo type="percentile" val="50"/>
        <cfvo type="max"/>
        <color rgb="FF63BE7B"/>
        <color rgb="FFFFEB84"/>
        <color rgb="FFF8696B"/>
      </colorScale>
    </cfRule>
  </conditionalFormatting>
  <conditionalFormatting sqref="F12:G12">
    <cfRule type="colorScale" priority="9">
      <colorScale>
        <cfvo type="min"/>
        <cfvo type="percentile" val="50"/>
        <cfvo type="max"/>
        <color rgb="FF63BE7B"/>
        <color rgb="FFFFEB84"/>
        <color rgb="FFF8696B"/>
      </colorScale>
    </cfRule>
  </conditionalFormatting>
  <conditionalFormatting sqref="F13:G13">
    <cfRule type="colorScale" priority="8">
      <colorScale>
        <cfvo type="min"/>
        <cfvo type="percentile" val="50"/>
        <cfvo type="max"/>
        <color rgb="FF63BE7B"/>
        <color rgb="FFFFEB84"/>
        <color rgb="FFF8696B"/>
      </colorScale>
    </cfRule>
  </conditionalFormatting>
  <conditionalFormatting sqref="F14:G14">
    <cfRule type="colorScale" priority="7">
      <colorScale>
        <cfvo type="min"/>
        <cfvo type="percentile" val="50"/>
        <cfvo type="max"/>
        <color rgb="FF63BE7B"/>
        <color rgb="FFFFEB84"/>
        <color rgb="FFF8696B"/>
      </colorScale>
    </cfRule>
  </conditionalFormatting>
  <conditionalFormatting sqref="F15:G15">
    <cfRule type="colorScale" priority="6">
      <colorScale>
        <cfvo type="min"/>
        <cfvo type="percentile" val="50"/>
        <cfvo type="max"/>
        <color rgb="FF63BE7B"/>
        <color rgb="FFFFEB84"/>
        <color rgb="FFF8696B"/>
      </colorScale>
    </cfRule>
  </conditionalFormatting>
  <conditionalFormatting sqref="F16:G16">
    <cfRule type="colorScale" priority="5">
      <colorScale>
        <cfvo type="min"/>
        <cfvo type="percentile" val="50"/>
        <cfvo type="max"/>
        <color rgb="FF63BE7B"/>
        <color rgb="FFFFEB84"/>
        <color rgb="FFF8696B"/>
      </colorScale>
    </cfRule>
  </conditionalFormatting>
  <conditionalFormatting sqref="F17:G17">
    <cfRule type="colorScale" priority="4">
      <colorScale>
        <cfvo type="min"/>
        <cfvo type="percentile" val="50"/>
        <cfvo type="max"/>
        <color rgb="FF63BE7B"/>
        <color rgb="FFFFEB84"/>
        <color rgb="FFF8696B"/>
      </colorScale>
    </cfRule>
  </conditionalFormatting>
  <conditionalFormatting sqref="F18:G18">
    <cfRule type="colorScale" priority="3">
      <colorScale>
        <cfvo type="min"/>
        <cfvo type="percentile" val="50"/>
        <cfvo type="max"/>
        <color rgb="FF63BE7B"/>
        <color rgb="FFFFEB84"/>
        <color rgb="FFF8696B"/>
      </colorScale>
    </cfRule>
  </conditionalFormatting>
  <conditionalFormatting sqref="K2:P18">
    <cfRule type="cellIs" dxfId="5" priority="2" operator="notBetween">
      <formula>0.1</formula>
      <formula>-0.1</formula>
    </cfRule>
  </conditionalFormatting>
  <conditionalFormatting sqref="S2:U18">
    <cfRule type="cellIs" dxfId="4" priority="1" operator="notEqual">
      <formula>TRUE</formula>
    </cfRule>
  </conditionalFormatting>
  <dataValidations count="1">
    <dataValidation type="list" allowBlank="1" showInputMessage="1" showErrorMessage="1" sqref="A23" xr:uid="{8D9104D6-7B97-4320-9848-21686A1CE847}">
      <formula1>$A$2:$A$18</formula1>
    </dataValidation>
  </dataValidation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3DCD4-E304-428C-86DF-51FB7F9C5966}">
  <dimension ref="A1:U33"/>
  <sheetViews>
    <sheetView topLeftCell="A16" workbookViewId="0">
      <selection activeCell="A22" sqref="A22"/>
    </sheetView>
  </sheetViews>
  <sheetFormatPr baseColWidth="10" defaultColWidth="11.44140625" defaultRowHeight="14.4" x14ac:dyDescent="0.3"/>
  <cols>
    <col min="1" max="1" width="92.88671875" style="185" bestFit="1" customWidth="1"/>
    <col min="2" max="16384" width="11.44140625" style="185"/>
  </cols>
  <sheetData>
    <row r="1" spans="1:21" x14ac:dyDescent="0.3">
      <c r="A1" s="185" t="s">
        <v>890</v>
      </c>
      <c r="B1" s="185" t="s">
        <v>891</v>
      </c>
      <c r="C1" s="185" t="s">
        <v>892</v>
      </c>
      <c r="D1" s="185" t="s">
        <v>893</v>
      </c>
      <c r="E1" s="185" t="s">
        <v>894</v>
      </c>
      <c r="F1" s="185" t="s">
        <v>895</v>
      </c>
      <c r="G1" s="185" t="s">
        <v>896</v>
      </c>
      <c r="H1" s="185" t="s">
        <v>897</v>
      </c>
      <c r="K1" s="185" t="s">
        <v>891</v>
      </c>
      <c r="L1" s="185" t="s">
        <v>892</v>
      </c>
      <c r="M1" s="185" t="s">
        <v>893</v>
      </c>
      <c r="N1" s="185" t="s">
        <v>894</v>
      </c>
      <c r="O1" s="185" t="s">
        <v>895</v>
      </c>
      <c r="P1" s="185" t="s">
        <v>896</v>
      </c>
      <c r="S1" s="185" t="s">
        <v>891</v>
      </c>
      <c r="T1" s="185" t="s">
        <v>893</v>
      </c>
      <c r="U1" s="185" t="s">
        <v>895</v>
      </c>
    </row>
    <row r="2" spans="1:21" x14ac:dyDescent="0.3">
      <c r="A2" s="185" t="s">
        <v>901</v>
      </c>
      <c r="B2" s="191">
        <v>0.37383362532890918</v>
      </c>
      <c r="C2" s="191">
        <v>0.12763317245838221</v>
      </c>
      <c r="D2" s="191">
        <v>0.24191475872177029</v>
      </c>
      <c r="E2" s="191">
        <v>0.1388861241027694</v>
      </c>
      <c r="F2" s="191">
        <v>0.66241124124472095</v>
      </c>
      <c r="G2" s="191">
        <v>0.1982615420463503</v>
      </c>
      <c r="H2" s="185" t="s">
        <v>902</v>
      </c>
      <c r="J2" s="185" t="s">
        <v>901</v>
      </c>
      <c r="K2" s="192">
        <f>(
VLOOKUP($J2,$A$2:$G$18,HLOOKUP(K$1,$B$1:$G$19,19,FALSE)+1,FALSE)
-
VLOOKUP($J2,'Ergebnisse Basisszenario'!$A$1:$H$21,HLOOKUP(K$1,'Ergebnisse Basisszenario'!$B$1:$G$21,21,FALSE)+1,FALSE)
)
/
VLOOKUP($J2,'Ergebnisse Basisszenario'!$A$1:$H$21,HLOOKUP(K$1,'Ergebnisse Basisszenario'!$B$1:$G$21,21,FALSE)+1,FALSE)</f>
        <v>9.1392686274509424E-4</v>
      </c>
      <c r="L2" s="192">
        <f>(
VLOOKUP($J2,$A$2:$G$18,HLOOKUP(L$1,$B$1:$G$19,19,FALSE)+1,FALSE)
-
VLOOKUP($J2,'Ergebnisse Basisszenario'!$A$1:$H$21,HLOOKUP(L$1,'Ergebnisse Basisszenario'!$B$1:$G$21,21,FALSE)+1,FALSE)
)
/
VLOOKUP($J2,'Ergebnisse Basisszenario'!$A$1:$H$21,HLOOKUP(L$1,'Ergebnisse Basisszenario'!$B$1:$G$21,21,FALSE)+1,FALSE)</f>
        <v>1.7861309387599872E-3</v>
      </c>
      <c r="M2" s="192">
        <f>(
VLOOKUP($J2,$A$2:$G$18,HLOOKUP(M$1,$B$1:$G$19,19,FALSE)+1,FALSE)
-
VLOOKUP($J2,'Ergebnisse Basisszenario'!$A$1:$H$21,HLOOKUP(M$1,'Ergebnisse Basisszenario'!$B$1:$G$21,21,FALSE)+1,FALSE)
)
/
VLOOKUP($J2,'Ergebnisse Basisszenario'!$A$1:$H$21,HLOOKUP(M$1,'Ergebnisse Basisszenario'!$B$1:$G$21,21,FALSE)+1,FALSE)</f>
        <v>9.415604333509192E-4</v>
      </c>
      <c r="N2" s="192">
        <f>(
VLOOKUP($J2,$A$2:$G$18,HLOOKUP(N$1,$B$1:$G$19,19,FALSE)+1,FALSE)
-
VLOOKUP($J2,'Ergebnisse Basisszenario'!$A$1:$H$21,HLOOKUP(N$1,'Ergebnisse Basisszenario'!$B$1:$G$21,21,FALSE)+1,FALSE)
)
/
VLOOKUP($J2,'Ergebnisse Basisszenario'!$A$1:$H$21,HLOOKUP(N$1,'Ergebnisse Basisszenario'!$B$1:$G$21,21,FALSE)+1,FALSE)</f>
        <v>1.6411759865379157E-3</v>
      </c>
      <c r="O2" s="192">
        <f>(
VLOOKUP($J2,$A$2:$G$18,HLOOKUP(O$1,$B$1:$G$19,19,FALSE)+1,FALSE)
-
VLOOKUP($J2,'Ergebnisse Basisszenario'!$A$1:$H$21,HLOOKUP(O$1,'Ergebnisse Basisszenario'!$B$1:$G$21,21,FALSE)+1,FALSE)
)
/
VLOOKUP($J2,'Ergebnisse Basisszenario'!$A$1:$H$21,HLOOKUP(O$1,'Ergebnisse Basisszenario'!$B$1:$G$21,21,FALSE)+1,FALSE)</f>
        <v>5.4423036941714503E-4</v>
      </c>
      <c r="P2" s="192">
        <f>(
VLOOKUP($J2,$A$2:$G$18,HLOOKUP(P$1,$B$1:$G$19,19,FALSE)+1,FALSE)
-
VLOOKUP($J2,'Ergebnisse Basisszenario'!$A$1:$H$21,HLOOKUP(P$1,'Ergebnisse Basisszenario'!$B$1:$G$21,21,FALSE)+1,FALSE)
)
/
VLOOKUP($J2,'Ergebnisse Basisszenario'!$A$1:$H$21,HLOOKUP(P$1,'Ergebnisse Basisszenario'!$B$1:$G$21,21,FALSE)+1,FALSE)</f>
        <v>1.8206466775920549E-3</v>
      </c>
      <c r="R2" s="185" t="s">
        <v>901</v>
      </c>
      <c r="S2" s="185" t="b">
        <f>IF(
IF((VLOOKUP($R2,$A$2:$G$18,HLOOKUP(S$1,$B$1:$G$19,19,FALSE)+1,FALSE)-VLOOKUP($R2,$A$2:$G$18,HLOOKUP(S$1,$B$1:$G$19,19,FALSE)+2,FALSE))&lt;0,TRUE,FALSE)
=
IF((VLOOKUP($R2,'Ergebnisse Basisszenario'!$A$2:$G$20,HLOOKUP(S$1,'Ergebnisse Basisszenario'!$B$1:$G$21,21,FALSE)+1,FALSE)-VLOOKUP($R2,'Ergebnisse Basisszenario'!$A$2:$G$20,HLOOKUP(S$1,'Ergebnisse Basisszenario'!$B$1:$G$21,21,FALSE)+2,FALSE))&lt;0,TRUE,FALSE),
TRUE,FALSE)</f>
        <v>1</v>
      </c>
      <c r="T2" s="185" t="b">
        <f>IF(
IF((VLOOKUP($R2,$A$2:$G$18,HLOOKUP(T$1,$B$1:$G$19,19,FALSE)+1,FALSE)-VLOOKUP($R2,$A$2:$G$18,HLOOKUP(T$1,$B$1:$G$19,19,FALSE)+2,FALSE))&lt;0,TRUE,FALSE)
=
IF((VLOOKUP($R2,'Ergebnisse Basisszenario'!$A$2:$G$20,HLOOKUP(T$1,'Ergebnisse Basisszenario'!$B$1:$G$21,21,FALSE)+1,FALSE)-VLOOKUP($R2,'Ergebnisse Basisszenario'!$A$2:$G$20,HLOOKUP(T$1,'Ergebnisse Basisszenario'!$B$1:$G$21,21,FALSE)+2,FALSE))&lt;0,TRUE,FALSE),
TRUE,FALSE)</f>
        <v>1</v>
      </c>
      <c r="U2" s="185" t="b">
        <f>IF(
IF((VLOOKUP($R2,$A$2:$G$18,HLOOKUP(U$1,$B$1:$G$19,19,FALSE)+1,FALSE)-VLOOKUP($R2,$A$2:$G$18,HLOOKUP(U$1,$B$1:$G$19,19,FALSE)+2,FALSE))&lt;0,TRUE,FALSE)
=
IF((VLOOKUP($R2,'Ergebnisse Basisszenario'!$A$2:$G$20,HLOOKUP(U$1,'Ergebnisse Basisszenario'!$B$1:$G$21,21,FALSE)+1,FALSE)-VLOOKUP($R2,'Ergebnisse Basisszenario'!$A$2:$G$20,HLOOKUP(U$1,'Ergebnisse Basisszenario'!$B$1:$G$21,21,FALSE)+2,FALSE))&lt;0,TRUE,FALSE),
TRUE,FALSE)</f>
        <v>1</v>
      </c>
    </row>
    <row r="3" spans="1:21" x14ac:dyDescent="0.3">
      <c r="A3" s="185" t="s">
        <v>903</v>
      </c>
      <c r="B3" s="191">
        <v>94.381889347261051</v>
      </c>
      <c r="C3" s="191">
        <v>51.420966150912022</v>
      </c>
      <c r="D3" s="191">
        <v>100.929068408788</v>
      </c>
      <c r="E3" s="191">
        <v>60.591687715393718</v>
      </c>
      <c r="F3" s="191">
        <v>218.39977944050369</v>
      </c>
      <c r="G3" s="191">
        <v>86.70188972959312</v>
      </c>
      <c r="H3" s="185" t="s">
        <v>904</v>
      </c>
      <c r="J3" s="185" t="s">
        <v>903</v>
      </c>
      <c r="K3" s="192">
        <f>(
VLOOKUP($J3,$A$2:$G$18,HLOOKUP(K$1,$B$1:$G$19,19,FALSE)+1,FALSE)
-
VLOOKUP($J3,'Ergebnisse Basisszenario'!$A$1:$H$21,HLOOKUP(K$1,'Ergebnisse Basisszenario'!$B$1:$G$21,21,FALSE)+1,FALSE)
)
/
VLOOKUP($J3,'Ergebnisse Basisszenario'!$A$1:$H$21,HLOOKUP(K$1,'Ergebnisse Basisszenario'!$B$1:$G$21,21,FALSE)+1,FALSE)</f>
        <v>-4.8973648281383183E-4</v>
      </c>
      <c r="L3" s="192">
        <f>(
VLOOKUP($J3,$A$2:$G$18,HLOOKUP(L$1,$B$1:$G$19,19,FALSE)+1,FALSE)
-
VLOOKUP($J3,'Ergebnisse Basisszenario'!$A$1:$H$21,HLOOKUP(L$1,'Ergebnisse Basisszenario'!$B$1:$G$21,21,FALSE)+1,FALSE)
)
/
VLOOKUP($J3,'Ergebnisse Basisszenario'!$A$1:$H$21,HLOOKUP(L$1,'Ergebnisse Basisszenario'!$B$1:$G$21,21,FALSE)+1,FALSE)</f>
        <v>-5.9920040276912928E-4</v>
      </c>
      <c r="M3" s="192">
        <f>(
VLOOKUP($J3,$A$2:$G$18,HLOOKUP(M$1,$B$1:$G$19,19,FALSE)+1,FALSE)
-
VLOOKUP($J3,'Ergebnisse Basisszenario'!$A$1:$H$21,HLOOKUP(M$1,'Ergebnisse Basisszenario'!$B$1:$G$21,21,FALSE)+1,FALSE)
)
/
VLOOKUP($J3,'Ergebnisse Basisszenario'!$A$1:$H$21,HLOOKUP(M$1,'Ergebnisse Basisszenario'!$B$1:$G$21,21,FALSE)+1,FALSE)</f>
        <v>-3.0536814561189356E-4</v>
      </c>
      <c r="N3" s="192">
        <f>(
VLOOKUP($J3,$A$2:$G$18,HLOOKUP(N$1,$B$1:$G$19,19,FALSE)+1,FALSE)
-
VLOOKUP($J3,'Ergebnisse Basisszenario'!$A$1:$H$21,HLOOKUP(N$1,'Ergebnisse Basisszenario'!$B$1:$G$21,21,FALSE)+1,FALSE)
)
/
VLOOKUP($J3,'Ergebnisse Basisszenario'!$A$1:$H$21,HLOOKUP(N$1,'Ergebnisse Basisszenario'!$B$1:$G$21,21,FALSE)+1,FALSE)</f>
        <v>-5.0855586559424694E-4</v>
      </c>
      <c r="O3" s="192">
        <f>(
VLOOKUP($J3,$A$2:$G$18,HLOOKUP(O$1,$B$1:$G$19,19,FALSE)+1,FALSE)
-
VLOOKUP($J3,'Ergebnisse Basisszenario'!$A$1:$H$21,HLOOKUP(O$1,'Ergebnisse Basisszenario'!$B$1:$G$21,21,FALSE)+1,FALSE)
)
/
VLOOKUP($J3,'Ergebnisse Basisszenario'!$A$1:$H$21,HLOOKUP(O$1,'Ergebnisse Basisszenario'!$B$1:$G$21,21,FALSE)+1,FALSE)</f>
        <v>-2.2345790139699937E-4</v>
      </c>
      <c r="P3" s="192">
        <f>(
VLOOKUP($J3,$A$2:$G$18,HLOOKUP(P$1,$B$1:$G$19,19,FALSE)+1,FALSE)
-
VLOOKUP($J3,'Ergebnisse Basisszenario'!$A$1:$H$21,HLOOKUP(P$1,'Ergebnisse Basisszenario'!$B$1:$G$21,21,FALSE)+1,FALSE)
)
/
VLOOKUP($J3,'Ergebnisse Basisszenario'!$A$1:$H$21,HLOOKUP(P$1,'Ergebnisse Basisszenario'!$B$1:$G$21,21,FALSE)+1,FALSE)</f>
        <v>-5.6269358210520851E-4</v>
      </c>
      <c r="R3" s="185" t="s">
        <v>903</v>
      </c>
      <c r="S3" s="185" t="b">
        <f>IF(
IF((VLOOKUP($R3,$A$2:$G$18,HLOOKUP(S$1,$B$1:$G$19,19,FALSE)+1,FALSE)-VLOOKUP($R3,$A$2:$G$18,HLOOKUP(S$1,$B$1:$G$19,19,FALSE)+2,FALSE))&lt;0,TRUE,FALSE)
=
IF((VLOOKUP($R3,'Ergebnisse Basisszenario'!$A$2:$G$20,HLOOKUP(S$1,'Ergebnisse Basisszenario'!$B$1:$G$21,21,FALSE)+1,FALSE)-VLOOKUP($R3,'Ergebnisse Basisszenario'!$A$2:$G$20,HLOOKUP(S$1,'Ergebnisse Basisszenario'!$B$1:$G$21,21,FALSE)+2,FALSE))&lt;0,TRUE,FALSE),
TRUE,FALSE)</f>
        <v>1</v>
      </c>
      <c r="T3" s="185" t="b">
        <f>IF(
IF((VLOOKUP($R3,$A$2:$G$18,HLOOKUP(T$1,$B$1:$G$19,19,FALSE)+1,FALSE)-VLOOKUP($R3,$A$2:$G$18,HLOOKUP(T$1,$B$1:$G$19,19,FALSE)+2,FALSE))&lt;0,TRUE,FALSE)
=
IF((VLOOKUP($R3,'Ergebnisse Basisszenario'!$A$2:$G$20,HLOOKUP(T$1,'Ergebnisse Basisszenario'!$B$1:$G$21,21,FALSE)+1,FALSE)-VLOOKUP($R3,'Ergebnisse Basisszenario'!$A$2:$G$20,HLOOKUP(T$1,'Ergebnisse Basisszenario'!$B$1:$G$21,21,FALSE)+2,FALSE))&lt;0,TRUE,FALSE),
TRUE,FALSE)</f>
        <v>1</v>
      </c>
      <c r="U3" s="185" t="b">
        <f>IF(
IF((VLOOKUP($R3,$A$2:$G$18,HLOOKUP(U$1,$B$1:$G$19,19,FALSE)+1,FALSE)-VLOOKUP($R3,$A$2:$G$18,HLOOKUP(U$1,$B$1:$G$19,19,FALSE)+2,FALSE))&lt;0,TRUE,FALSE)
=
IF((VLOOKUP($R3,'Ergebnisse Basisszenario'!$A$2:$G$20,HLOOKUP(U$1,'Ergebnisse Basisszenario'!$B$1:$G$21,21,FALSE)+1,FALSE)-VLOOKUP($R3,'Ergebnisse Basisszenario'!$A$2:$G$20,HLOOKUP(U$1,'Ergebnisse Basisszenario'!$B$1:$G$21,21,FALSE)+2,FALSE))&lt;0,TRUE,FALSE),
TRUE,FALSE)</f>
        <v>1</v>
      </c>
    </row>
    <row r="4" spans="1:21" x14ac:dyDescent="0.3">
      <c r="A4" s="185" t="s">
        <v>906</v>
      </c>
      <c r="B4" s="191">
        <v>91.836367400997887</v>
      </c>
      <c r="C4" s="191">
        <v>51.073506373708732</v>
      </c>
      <c r="D4" s="191">
        <v>100.6278839874295</v>
      </c>
      <c r="E4" s="191">
        <v>60.210972194535941</v>
      </c>
      <c r="F4" s="191">
        <v>216.00293099905579</v>
      </c>
      <c r="G4" s="191">
        <v>86.113175671738617</v>
      </c>
      <c r="H4" s="185" t="s">
        <v>904</v>
      </c>
      <c r="J4" s="185" t="s">
        <v>906</v>
      </c>
      <c r="K4" s="192">
        <f>(
VLOOKUP($J4,$A$2:$G$18,HLOOKUP(K$1,$B$1:$G$19,19,FALSE)+1,FALSE)
-
VLOOKUP($J4,'Ergebnisse Basisszenario'!$A$1:$H$21,HLOOKUP(K$1,'Ergebnisse Basisszenario'!$B$1:$G$21,21,FALSE)+1,FALSE)
)
/
VLOOKUP($J4,'Ergebnisse Basisszenario'!$A$1:$H$21,HLOOKUP(K$1,'Ergebnisse Basisszenario'!$B$1:$G$21,21,FALSE)+1,FALSE)</f>
        <v>-5.1141806527076332E-4</v>
      </c>
      <c r="L4" s="192">
        <f>(
VLOOKUP($J4,$A$2:$G$18,HLOOKUP(L$1,$B$1:$G$19,19,FALSE)+1,FALSE)
-
VLOOKUP($J4,'Ergebnisse Basisszenario'!$A$1:$H$21,HLOOKUP(L$1,'Ergebnisse Basisszenario'!$B$1:$G$21,21,FALSE)+1,FALSE)
)
/
VLOOKUP($J4,'Ergebnisse Basisszenario'!$A$1:$H$21,HLOOKUP(L$1,'Ergebnisse Basisszenario'!$B$1:$G$21,21,FALSE)+1,FALSE)</f>
        <v>-6.1299892925590748E-4</v>
      </c>
      <c r="M4" s="192">
        <f>(
VLOOKUP($J4,$A$2:$G$18,HLOOKUP(M$1,$B$1:$G$19,19,FALSE)+1,FALSE)
-
VLOOKUP($J4,'Ergebnisse Basisszenario'!$A$1:$H$21,HLOOKUP(M$1,'Ergebnisse Basisszenario'!$B$1:$G$21,21,FALSE)+1,FALSE)
)
/
VLOOKUP($J4,'Ergebnisse Basisszenario'!$A$1:$H$21,HLOOKUP(M$1,'Ergebnisse Basisszenario'!$B$1:$G$21,21,FALSE)+1,FALSE)</f>
        <v>-3.1122048239172511E-4</v>
      </c>
      <c r="N4" s="192">
        <f>(
VLOOKUP($J4,$A$2:$G$18,HLOOKUP(N$1,$B$1:$G$19,19,FALSE)+1,FALSE)
-
VLOOKUP($J4,'Ergebnisse Basisszenario'!$A$1:$H$21,HLOOKUP(N$1,'Ergebnisse Basisszenario'!$B$1:$G$21,21,FALSE)+1,FALSE)
)
/
VLOOKUP($J4,'Ergebnisse Basisszenario'!$A$1:$H$21,HLOOKUP(N$1,'Ergebnisse Basisszenario'!$B$1:$G$21,21,FALSE)+1,FALSE)</f>
        <v>-5.2002012831940279E-4</v>
      </c>
      <c r="O4" s="192">
        <f>(
VLOOKUP($J4,$A$2:$G$18,HLOOKUP(O$1,$B$1:$G$19,19,FALSE)+1,FALSE)
-
VLOOKUP($J4,'Ergebnisse Basisszenario'!$A$1:$H$21,HLOOKUP(O$1,'Ergebnisse Basisszenario'!$B$1:$G$21,21,FALSE)+1,FALSE)
)
/
VLOOKUP($J4,'Ergebnisse Basisszenario'!$A$1:$H$21,HLOOKUP(O$1,'Ergebnisse Basisszenario'!$B$1:$G$21,21,FALSE)+1,FALSE)</f>
        <v>-2.2958032447159589E-4</v>
      </c>
      <c r="P4" s="192">
        <f>(
VLOOKUP($J4,$A$2:$G$18,HLOOKUP(P$1,$B$1:$G$19,19,FALSE)+1,FALSE)
-
VLOOKUP($J4,'Ergebnisse Basisszenario'!$A$1:$H$21,HLOOKUP(P$1,'Ergebnisse Basisszenario'!$B$1:$G$21,21,FALSE)+1,FALSE)
)
/
VLOOKUP($J4,'Ergebnisse Basisszenario'!$A$1:$H$21,HLOOKUP(P$1,'Ergebnisse Basisszenario'!$B$1:$G$21,21,FALSE)+1,FALSE)</f>
        <v>-5.7567098198743648E-4</v>
      </c>
      <c r="R4" s="185" t="s">
        <v>906</v>
      </c>
      <c r="S4" s="185" t="b">
        <f>IF(
IF((VLOOKUP($R4,$A$2:$G$18,HLOOKUP(S$1,$B$1:$G$19,19,FALSE)+1,FALSE)-VLOOKUP($R4,$A$2:$G$18,HLOOKUP(S$1,$B$1:$G$19,19,FALSE)+2,FALSE))&lt;0,TRUE,FALSE)
=
IF((VLOOKUP($R4,'Ergebnisse Basisszenario'!$A$2:$G$20,HLOOKUP(S$1,'Ergebnisse Basisszenario'!$B$1:$G$21,21,FALSE)+1,FALSE)-VLOOKUP($R4,'Ergebnisse Basisszenario'!$A$2:$G$20,HLOOKUP(S$1,'Ergebnisse Basisszenario'!$B$1:$G$21,21,FALSE)+2,FALSE))&lt;0,TRUE,FALSE),
TRUE,FALSE)</f>
        <v>1</v>
      </c>
      <c r="T4" s="185" t="b">
        <f>IF(
IF((VLOOKUP($R4,$A$2:$G$18,HLOOKUP(T$1,$B$1:$G$19,19,FALSE)+1,FALSE)-VLOOKUP($R4,$A$2:$G$18,HLOOKUP(T$1,$B$1:$G$19,19,FALSE)+2,FALSE))&lt;0,TRUE,FALSE)
=
IF((VLOOKUP($R4,'Ergebnisse Basisszenario'!$A$2:$G$20,HLOOKUP(T$1,'Ergebnisse Basisszenario'!$B$1:$G$21,21,FALSE)+1,FALSE)-VLOOKUP($R4,'Ergebnisse Basisszenario'!$A$2:$G$20,HLOOKUP(T$1,'Ergebnisse Basisszenario'!$B$1:$G$21,21,FALSE)+2,FALSE))&lt;0,TRUE,FALSE),
TRUE,FALSE)</f>
        <v>1</v>
      </c>
      <c r="U4" s="185" t="b">
        <f>IF(
IF((VLOOKUP($R4,$A$2:$G$18,HLOOKUP(U$1,$B$1:$G$19,19,FALSE)+1,FALSE)-VLOOKUP($R4,$A$2:$G$18,HLOOKUP(U$1,$B$1:$G$19,19,FALSE)+2,FALSE))&lt;0,TRUE,FALSE)
=
IF((VLOOKUP($R4,'Ergebnisse Basisszenario'!$A$2:$G$20,HLOOKUP(U$1,'Ergebnisse Basisszenario'!$B$1:$G$21,21,FALSE)+1,FALSE)-VLOOKUP($R4,'Ergebnisse Basisszenario'!$A$2:$G$20,HLOOKUP(U$1,'Ergebnisse Basisszenario'!$B$1:$G$21,21,FALSE)+2,FALSE))&lt;0,TRUE,FALSE),
TRUE,FALSE)</f>
        <v>1</v>
      </c>
    </row>
    <row r="5" spans="1:21" x14ac:dyDescent="0.3">
      <c r="A5" s="185" t="s">
        <v>908</v>
      </c>
      <c r="B5" s="191">
        <v>3561.0737291297419</v>
      </c>
      <c r="C5" s="191">
        <v>529.02114492389637</v>
      </c>
      <c r="D5" s="191">
        <v>803.1119319547131</v>
      </c>
      <c r="E5" s="191">
        <v>543.49835551992601</v>
      </c>
      <c r="F5" s="191">
        <v>3586.459445000381</v>
      </c>
      <c r="G5" s="191">
        <v>783.32789845086472</v>
      </c>
      <c r="H5" s="185" t="s">
        <v>909</v>
      </c>
      <c r="J5" s="185" t="s">
        <v>908</v>
      </c>
      <c r="K5" s="192">
        <f>(
VLOOKUP($J5,$A$2:$G$18,HLOOKUP(K$1,$B$1:$G$19,19,FALSE)+1,FALSE)
-
VLOOKUP($J5,'Ergebnisse Basisszenario'!$A$1:$H$21,HLOOKUP(K$1,'Ergebnisse Basisszenario'!$B$1:$G$21,21,FALSE)+1,FALSE)
)
/
VLOOKUP($J5,'Ergebnisse Basisszenario'!$A$1:$H$21,HLOOKUP(K$1,'Ergebnisse Basisszenario'!$B$1:$G$21,21,FALSE)+1,FALSE)</f>
        <v>6.3795071527384913E-4</v>
      </c>
      <c r="L5" s="192">
        <f>(
VLOOKUP($J5,$A$2:$G$18,HLOOKUP(L$1,$B$1:$G$19,19,FALSE)+1,FALSE)
-
VLOOKUP($J5,'Ergebnisse Basisszenario'!$A$1:$H$21,HLOOKUP(L$1,'Ergebnisse Basisszenario'!$B$1:$G$21,21,FALSE)+1,FALSE)
)
/
VLOOKUP($J5,'Ergebnisse Basisszenario'!$A$1:$H$21,HLOOKUP(L$1,'Ergebnisse Basisszenario'!$B$1:$G$21,21,FALSE)+1,FALSE)</f>
        <v>2.8692684691726698E-3</v>
      </c>
      <c r="M5" s="192">
        <f>(
VLOOKUP($J5,$A$2:$G$18,HLOOKUP(M$1,$B$1:$G$19,19,FALSE)+1,FALSE)
-
VLOOKUP($J5,'Ergebnisse Basisszenario'!$A$1:$H$21,HLOOKUP(M$1,'Ergebnisse Basisszenario'!$B$1:$G$21,21,FALSE)+1,FALSE)
)
/
VLOOKUP($J5,'Ergebnisse Basisszenario'!$A$1:$H$21,HLOOKUP(M$1,'Ergebnisse Basisszenario'!$B$1:$G$21,21,FALSE)+1,FALSE)</f>
        <v>1.8881785851416883E-3</v>
      </c>
      <c r="N5" s="192">
        <f>(
VLOOKUP($J5,$A$2:$G$18,HLOOKUP(N$1,$B$1:$G$19,19,FALSE)+1,FALSE)
-
VLOOKUP($J5,'Ergebnisse Basisszenario'!$A$1:$H$21,HLOOKUP(N$1,'Ergebnisse Basisszenario'!$B$1:$G$21,21,FALSE)+1,FALSE)
)
/
VLOOKUP($J5,'Ergebnisse Basisszenario'!$A$1:$H$21,HLOOKUP(N$1,'Ergebnisse Basisszenario'!$B$1:$G$21,21,FALSE)+1,FALSE)</f>
        <v>2.7926260904622162E-3</v>
      </c>
      <c r="O5" s="192">
        <f>(
VLOOKUP($J5,$A$2:$G$18,HLOOKUP(O$1,$B$1:$G$19,19,FALSE)+1,FALSE)
-
VLOOKUP($J5,'Ergebnisse Basisszenario'!$A$1:$H$21,HLOOKUP(O$1,'Ergebnisse Basisszenario'!$B$1:$G$21,21,FALSE)+1,FALSE)
)
/
VLOOKUP($J5,'Ergebnisse Basisszenario'!$A$1:$H$21,HLOOKUP(O$1,'Ergebnisse Basisszenario'!$B$1:$G$21,21,FALSE)+1,FALSE)</f>
        <v>6.6864652844436884E-4</v>
      </c>
      <c r="P5" s="192">
        <f>(
VLOOKUP($J5,$A$2:$G$18,HLOOKUP(P$1,$B$1:$G$19,19,FALSE)+1,FALSE)
-
VLOOKUP($J5,'Ergebnisse Basisszenario'!$A$1:$H$21,HLOOKUP(P$1,'Ergebnisse Basisszenario'!$B$1:$G$21,21,FALSE)+1,FALSE)
)
/
VLOOKUP($J5,'Ergebnisse Basisszenario'!$A$1:$H$21,HLOOKUP(P$1,'Ergebnisse Basisszenario'!$B$1:$G$21,21,FALSE)+1,FALSE)</f>
        <v>3.0687345670606953E-3</v>
      </c>
      <c r="R5" s="185" t="s">
        <v>908</v>
      </c>
      <c r="S5" s="185" t="b">
        <f>IF(
IF((VLOOKUP($R5,$A$2:$G$18,HLOOKUP(S$1,$B$1:$G$19,19,FALSE)+1,FALSE)-VLOOKUP($R5,$A$2:$G$18,HLOOKUP(S$1,$B$1:$G$19,19,FALSE)+2,FALSE))&lt;0,TRUE,FALSE)
=
IF((VLOOKUP($R5,'Ergebnisse Basisszenario'!$A$2:$G$20,HLOOKUP(S$1,'Ergebnisse Basisszenario'!$B$1:$G$21,21,FALSE)+1,FALSE)-VLOOKUP($R5,'Ergebnisse Basisszenario'!$A$2:$G$20,HLOOKUP(S$1,'Ergebnisse Basisszenario'!$B$1:$G$21,21,FALSE)+2,FALSE))&lt;0,TRUE,FALSE),
TRUE,FALSE)</f>
        <v>1</v>
      </c>
      <c r="T5" s="185" t="b">
        <f>IF(
IF((VLOOKUP($R5,$A$2:$G$18,HLOOKUP(T$1,$B$1:$G$19,19,FALSE)+1,FALSE)-VLOOKUP($R5,$A$2:$G$18,HLOOKUP(T$1,$B$1:$G$19,19,FALSE)+2,FALSE))&lt;0,TRUE,FALSE)
=
IF((VLOOKUP($R5,'Ergebnisse Basisszenario'!$A$2:$G$20,HLOOKUP(T$1,'Ergebnisse Basisszenario'!$B$1:$G$21,21,FALSE)+1,FALSE)-VLOOKUP($R5,'Ergebnisse Basisszenario'!$A$2:$G$20,HLOOKUP(T$1,'Ergebnisse Basisszenario'!$B$1:$G$21,21,FALSE)+2,FALSE))&lt;0,TRUE,FALSE),
TRUE,FALSE)</f>
        <v>1</v>
      </c>
      <c r="U5" s="185" t="b">
        <f>IF(
IF((VLOOKUP($R5,$A$2:$G$18,HLOOKUP(U$1,$B$1:$G$19,19,FALSE)+1,FALSE)-VLOOKUP($R5,$A$2:$G$18,HLOOKUP(U$1,$B$1:$G$19,19,FALSE)+2,FALSE))&lt;0,TRUE,FALSE)
=
IF((VLOOKUP($R5,'Ergebnisse Basisszenario'!$A$2:$G$20,HLOOKUP(U$1,'Ergebnisse Basisszenario'!$B$1:$G$21,21,FALSE)+1,FALSE)-VLOOKUP($R5,'Ergebnisse Basisszenario'!$A$2:$G$20,HLOOKUP(U$1,'Ergebnisse Basisszenario'!$B$1:$G$21,21,FALSE)+2,FALSE))&lt;0,TRUE,FALSE),
TRUE,FALSE)</f>
        <v>1</v>
      </c>
    </row>
    <row r="6" spans="1:21" x14ac:dyDescent="0.3">
      <c r="A6" s="185" t="s">
        <v>910</v>
      </c>
      <c r="B6" s="191">
        <v>1184.2276694109701</v>
      </c>
      <c r="C6" s="191">
        <v>795.94935274174941</v>
      </c>
      <c r="D6" s="191">
        <v>1436.813898821918</v>
      </c>
      <c r="E6" s="191">
        <v>923.49308545650263</v>
      </c>
      <c r="F6" s="191">
        <v>3126.3089260502602</v>
      </c>
      <c r="G6" s="191">
        <v>1336.3910068641119</v>
      </c>
      <c r="H6" s="185" t="s">
        <v>911</v>
      </c>
      <c r="J6" s="185" t="s">
        <v>910</v>
      </c>
      <c r="K6" s="192">
        <f>(
VLOOKUP($J6,$A$2:$G$18,HLOOKUP(K$1,$B$1:$G$19,19,FALSE)+1,FALSE)
-
VLOOKUP($J6,'Ergebnisse Basisszenario'!$A$1:$H$21,HLOOKUP(K$1,'Ergebnisse Basisszenario'!$B$1:$G$21,21,FALSE)+1,FALSE)
)
/
VLOOKUP($J6,'Ergebnisse Basisszenario'!$A$1:$H$21,HLOOKUP(K$1,'Ergebnisse Basisszenario'!$B$1:$G$21,21,FALSE)+1,FALSE)</f>
        <v>-6.1825766613083863E-4</v>
      </c>
      <c r="L6" s="192">
        <f>(
VLOOKUP($J6,$A$2:$G$18,HLOOKUP(L$1,$B$1:$G$19,19,FALSE)+1,FALSE)
-
VLOOKUP($J6,'Ergebnisse Basisszenario'!$A$1:$H$21,HLOOKUP(L$1,'Ergebnisse Basisszenario'!$B$1:$G$21,21,FALSE)+1,FALSE)
)
/
VLOOKUP($J6,'Ergebnisse Basisszenario'!$A$1:$H$21,HLOOKUP(L$1,'Ergebnisse Basisszenario'!$B$1:$G$21,21,FALSE)+1,FALSE)</f>
        <v>-6.1323965509081267E-4</v>
      </c>
      <c r="M6" s="192">
        <f>(
VLOOKUP($J6,$A$2:$G$18,HLOOKUP(M$1,$B$1:$G$19,19,FALSE)+1,FALSE)
-
VLOOKUP($J6,'Ergebnisse Basisszenario'!$A$1:$H$21,HLOOKUP(M$1,'Ergebnisse Basisszenario'!$B$1:$G$21,21,FALSE)+1,FALSE)
)
/
VLOOKUP($J6,'Ergebnisse Basisszenario'!$A$1:$H$21,HLOOKUP(M$1,'Ergebnisse Basisszenario'!$B$1:$G$21,21,FALSE)+1,FALSE)</f>
        <v>-3.3980827496194951E-4</v>
      </c>
      <c r="N6" s="192">
        <f>(
VLOOKUP($J6,$A$2:$G$18,HLOOKUP(N$1,$B$1:$G$19,19,FALSE)+1,FALSE)
-
VLOOKUP($J6,'Ergebnisse Basisszenario'!$A$1:$H$21,HLOOKUP(N$1,'Ergebnisse Basisszenario'!$B$1:$G$21,21,FALSE)+1,FALSE)
)
/
VLOOKUP($J6,'Ergebnisse Basisszenario'!$A$1:$H$21,HLOOKUP(N$1,'Ergebnisse Basisszenario'!$B$1:$G$21,21,FALSE)+1,FALSE)</f>
        <v>-5.2858982684435057E-4</v>
      </c>
      <c r="O6" s="192">
        <f>(
VLOOKUP($J6,$A$2:$G$18,HLOOKUP(O$1,$B$1:$G$19,19,FALSE)+1,FALSE)
-
VLOOKUP($J6,'Ergebnisse Basisszenario'!$A$1:$H$21,HLOOKUP(O$1,'Ergebnisse Basisszenario'!$B$1:$G$21,21,FALSE)+1,FALSE)
)
/
VLOOKUP($J6,'Ergebnisse Basisszenario'!$A$1:$H$21,HLOOKUP(O$1,'Ergebnisse Basisszenario'!$B$1:$G$21,21,FALSE)+1,FALSE)</f>
        <v>-2.4729486725866485E-4</v>
      </c>
      <c r="P6" s="192">
        <f>(
VLOOKUP($J6,$A$2:$G$18,HLOOKUP(P$1,$B$1:$G$19,19,FALSE)+1,FALSE)
-
VLOOKUP($J6,'Ergebnisse Basisszenario'!$A$1:$H$21,HLOOKUP(P$1,'Ergebnisse Basisszenario'!$B$1:$G$21,21,FALSE)+1,FALSE)
)
/
VLOOKUP($J6,'Ergebnisse Basisszenario'!$A$1:$H$21,HLOOKUP(P$1,'Ergebnisse Basisszenario'!$B$1:$G$21,21,FALSE)+1,FALSE)</f>
        <v>-5.7832188331165366E-4</v>
      </c>
      <c r="R6" s="185" t="s">
        <v>910</v>
      </c>
      <c r="S6" s="185" t="b">
        <f>IF(
IF((VLOOKUP($R6,$A$2:$G$18,HLOOKUP(S$1,$B$1:$G$19,19,FALSE)+1,FALSE)-VLOOKUP($R6,$A$2:$G$18,HLOOKUP(S$1,$B$1:$G$19,19,FALSE)+2,FALSE))&lt;0,TRUE,FALSE)
=
IF((VLOOKUP($R6,'Ergebnisse Basisszenario'!$A$2:$G$20,HLOOKUP(S$1,'Ergebnisse Basisszenario'!$B$1:$G$21,21,FALSE)+1,FALSE)-VLOOKUP($R6,'Ergebnisse Basisszenario'!$A$2:$G$20,HLOOKUP(S$1,'Ergebnisse Basisszenario'!$B$1:$G$21,21,FALSE)+2,FALSE))&lt;0,TRUE,FALSE),
TRUE,FALSE)</f>
        <v>1</v>
      </c>
      <c r="T6" s="185" t="b">
        <f>IF(
IF((VLOOKUP($R6,$A$2:$G$18,HLOOKUP(T$1,$B$1:$G$19,19,FALSE)+1,FALSE)-VLOOKUP($R6,$A$2:$G$18,HLOOKUP(T$1,$B$1:$G$19,19,FALSE)+2,FALSE))&lt;0,TRUE,FALSE)
=
IF((VLOOKUP($R6,'Ergebnisse Basisszenario'!$A$2:$G$20,HLOOKUP(T$1,'Ergebnisse Basisszenario'!$B$1:$G$21,21,FALSE)+1,FALSE)-VLOOKUP($R6,'Ergebnisse Basisszenario'!$A$2:$G$20,HLOOKUP(T$1,'Ergebnisse Basisszenario'!$B$1:$G$21,21,FALSE)+2,FALSE))&lt;0,TRUE,FALSE),
TRUE,FALSE)</f>
        <v>1</v>
      </c>
      <c r="U6" s="185" t="b">
        <f>IF(
IF((VLOOKUP($R6,$A$2:$G$18,HLOOKUP(U$1,$B$1:$G$19,19,FALSE)+1,FALSE)-VLOOKUP($R6,$A$2:$G$18,HLOOKUP(U$1,$B$1:$G$19,19,FALSE)+2,FALSE))&lt;0,TRUE,FALSE)
=
IF((VLOOKUP($R6,'Ergebnisse Basisszenario'!$A$2:$G$20,HLOOKUP(U$1,'Ergebnisse Basisszenario'!$B$1:$G$21,21,FALSE)+1,FALSE)-VLOOKUP($R6,'Ergebnisse Basisszenario'!$A$2:$G$20,HLOOKUP(U$1,'Ergebnisse Basisszenario'!$B$1:$G$21,21,FALSE)+2,FALSE))&lt;0,TRUE,FALSE),
TRUE,FALSE)</f>
        <v>1</v>
      </c>
    </row>
    <row r="7" spans="1:21" x14ac:dyDescent="0.3">
      <c r="A7" s="185" t="s">
        <v>912</v>
      </c>
      <c r="B7" s="191">
        <v>4.4734633700594433E-2</v>
      </c>
      <c r="C7" s="191">
        <v>3.3258735911734921E-2</v>
      </c>
      <c r="D7" s="191">
        <v>2.787258053885365E-2</v>
      </c>
      <c r="E7" s="191">
        <v>3.68851212873317E-2</v>
      </c>
      <c r="F7" s="191">
        <v>0.12643496796898371</v>
      </c>
      <c r="G7" s="191">
        <v>5.7227074656947527E-2</v>
      </c>
      <c r="H7" s="185" t="s">
        <v>913</v>
      </c>
      <c r="J7" s="185" t="s">
        <v>912</v>
      </c>
      <c r="K7" s="192">
        <f>(
VLOOKUP($J7,$A$2:$G$18,HLOOKUP(K$1,$B$1:$G$19,19,FALSE)+1,FALSE)
-
VLOOKUP($J7,'Ergebnisse Basisszenario'!$A$1:$H$21,HLOOKUP(K$1,'Ergebnisse Basisszenario'!$B$1:$G$21,21,FALSE)+1,FALSE)
)
/
VLOOKUP($J7,'Ergebnisse Basisszenario'!$A$1:$H$21,HLOOKUP(K$1,'Ergebnisse Basisszenario'!$B$1:$G$21,21,FALSE)+1,FALSE)</f>
        <v>-1.5734529473529797E-4</v>
      </c>
      <c r="L7" s="192">
        <f>(
VLOOKUP($J7,$A$2:$G$18,HLOOKUP(L$1,$B$1:$G$19,19,FALSE)+1,FALSE)
-
VLOOKUP($J7,'Ergebnisse Basisszenario'!$A$1:$H$21,HLOOKUP(L$1,'Ergebnisse Basisszenario'!$B$1:$G$21,21,FALSE)+1,FALSE)
)
/
VLOOKUP($J7,'Ergebnisse Basisszenario'!$A$1:$H$21,HLOOKUP(L$1,'Ergebnisse Basisszenario'!$B$1:$G$21,21,FALSE)+1,FALSE)</f>
        <v>-1.4109373686474762E-4</v>
      </c>
      <c r="M7" s="192">
        <f>(
VLOOKUP($J7,$A$2:$G$18,HLOOKUP(M$1,$B$1:$G$19,19,FALSE)+1,FALSE)
-
VLOOKUP($J7,'Ergebnisse Basisszenario'!$A$1:$H$21,HLOOKUP(M$1,'Ergebnisse Basisszenario'!$B$1:$G$21,21,FALSE)+1,FALSE)
)
/
VLOOKUP($J7,'Ergebnisse Basisszenario'!$A$1:$H$21,HLOOKUP(M$1,'Ergebnisse Basisszenario'!$B$1:$G$21,21,FALSE)+1,FALSE)</f>
        <v>-1.6835439349872116E-4</v>
      </c>
      <c r="N7" s="192">
        <f>(
VLOOKUP($J7,$A$2:$G$18,HLOOKUP(N$1,$B$1:$G$19,19,FALSE)+1,FALSE)
-
VLOOKUP($J7,'Ergebnisse Basisszenario'!$A$1:$H$21,HLOOKUP(N$1,'Ergebnisse Basisszenario'!$B$1:$G$21,21,FALSE)+1,FALSE)
)
/
VLOOKUP($J7,'Ergebnisse Basisszenario'!$A$1:$H$21,HLOOKUP(N$1,'Ergebnisse Basisszenario'!$B$1:$G$21,21,FALSE)+1,FALSE)</f>
        <v>-1.2722377654855209E-4</v>
      </c>
      <c r="O7" s="192">
        <f>(
VLOOKUP($J7,$A$2:$G$18,HLOOKUP(O$1,$B$1:$G$19,19,FALSE)+1,FALSE)
-
VLOOKUP($J7,'Ergebnisse Basisszenario'!$A$1:$H$21,HLOOKUP(O$1,'Ergebnisse Basisszenario'!$B$1:$G$21,21,FALSE)+1,FALSE)
)
/
VLOOKUP($J7,'Ergebnisse Basisszenario'!$A$1:$H$21,HLOOKUP(O$1,'Ergebnisse Basisszenario'!$B$1:$G$21,21,FALSE)+1,FALSE)</f>
        <v>-5.876981996269638E-5</v>
      </c>
      <c r="P7" s="192">
        <f>(
VLOOKUP($J7,$A$2:$G$18,HLOOKUP(P$1,$B$1:$G$19,19,FALSE)+1,FALSE)
-
VLOOKUP($J7,'Ergebnisse Basisszenario'!$A$1:$H$21,HLOOKUP(P$1,'Ergebnisse Basisszenario'!$B$1:$G$21,21,FALSE)+1,FALSE)
)
/
VLOOKUP($J7,'Ergebnisse Basisszenario'!$A$1:$H$21,HLOOKUP(P$1,'Ergebnisse Basisszenario'!$B$1:$G$21,21,FALSE)+1,FALSE)</f>
        <v>-1.2983421343356201E-4</v>
      </c>
      <c r="R7" s="185" t="s">
        <v>912</v>
      </c>
      <c r="S7" s="185" t="b">
        <f>IF(
IF((VLOOKUP($R7,$A$2:$G$18,HLOOKUP(S$1,$B$1:$G$19,19,FALSE)+1,FALSE)-VLOOKUP($R7,$A$2:$G$18,HLOOKUP(S$1,$B$1:$G$19,19,FALSE)+2,FALSE))&lt;0,TRUE,FALSE)
=
IF((VLOOKUP($R7,'Ergebnisse Basisszenario'!$A$2:$G$20,HLOOKUP(S$1,'Ergebnisse Basisszenario'!$B$1:$G$21,21,FALSE)+1,FALSE)-VLOOKUP($R7,'Ergebnisse Basisszenario'!$A$2:$G$20,HLOOKUP(S$1,'Ergebnisse Basisszenario'!$B$1:$G$21,21,FALSE)+2,FALSE))&lt;0,TRUE,FALSE),
TRUE,FALSE)</f>
        <v>1</v>
      </c>
      <c r="T7" s="185" t="b">
        <f>IF(
IF((VLOOKUP($R7,$A$2:$G$18,HLOOKUP(T$1,$B$1:$G$19,19,FALSE)+1,FALSE)-VLOOKUP($R7,$A$2:$G$18,HLOOKUP(T$1,$B$1:$G$19,19,FALSE)+2,FALSE))&lt;0,TRUE,FALSE)
=
IF((VLOOKUP($R7,'Ergebnisse Basisszenario'!$A$2:$G$20,HLOOKUP(T$1,'Ergebnisse Basisszenario'!$B$1:$G$21,21,FALSE)+1,FALSE)-VLOOKUP($R7,'Ergebnisse Basisszenario'!$A$2:$G$20,HLOOKUP(T$1,'Ergebnisse Basisszenario'!$B$1:$G$21,21,FALSE)+2,FALSE))&lt;0,TRUE,FALSE),
TRUE,FALSE)</f>
        <v>1</v>
      </c>
      <c r="U7" s="185" t="b">
        <f>IF(
IF((VLOOKUP($R7,$A$2:$G$18,HLOOKUP(U$1,$B$1:$G$19,19,FALSE)+1,FALSE)-VLOOKUP($R7,$A$2:$G$18,HLOOKUP(U$1,$B$1:$G$19,19,FALSE)+2,FALSE))&lt;0,TRUE,FALSE)
=
IF((VLOOKUP($R7,'Ergebnisse Basisszenario'!$A$2:$G$20,HLOOKUP(U$1,'Ergebnisse Basisszenario'!$B$1:$G$21,21,FALSE)+1,FALSE)-VLOOKUP($R7,'Ergebnisse Basisszenario'!$A$2:$G$20,HLOOKUP(U$1,'Ergebnisse Basisszenario'!$B$1:$G$21,21,FALSE)+2,FALSE))&lt;0,TRUE,FALSE),
TRUE,FALSE)</f>
        <v>1</v>
      </c>
    </row>
    <row r="8" spans="1:21" x14ac:dyDescent="0.3">
      <c r="A8" s="185" t="s">
        <v>914</v>
      </c>
      <c r="B8" s="191">
        <v>9.7101937106394337E-2</v>
      </c>
      <c r="C8" s="191">
        <v>3.1691515900369623E-2</v>
      </c>
      <c r="D8" s="191">
        <v>5.1105626173681987E-2</v>
      </c>
      <c r="E8" s="191">
        <v>3.4482524550532051E-2</v>
      </c>
      <c r="F8" s="191">
        <v>0.17386659390866191</v>
      </c>
      <c r="G8" s="191">
        <v>4.9879634974687823E-2</v>
      </c>
      <c r="H8" s="185" t="s">
        <v>915</v>
      </c>
      <c r="J8" s="185" t="s">
        <v>914</v>
      </c>
      <c r="K8" s="192">
        <f>(
VLOOKUP($J8,$A$2:$G$18,HLOOKUP(K$1,$B$1:$G$19,19,FALSE)+1,FALSE)
-
VLOOKUP($J8,'Ergebnisse Basisszenario'!$A$1:$H$21,HLOOKUP(K$1,'Ergebnisse Basisszenario'!$B$1:$G$21,21,FALSE)+1,FALSE)
)
/
VLOOKUP($J8,'Ergebnisse Basisszenario'!$A$1:$H$21,HLOOKUP(K$1,'Ergebnisse Basisszenario'!$B$1:$G$21,21,FALSE)+1,FALSE)</f>
        <v>-3.5462080471140194E-4</v>
      </c>
      <c r="L8" s="192">
        <f>(
VLOOKUP($J8,$A$2:$G$18,HLOOKUP(L$1,$B$1:$G$19,19,FALSE)+1,FALSE)
-
VLOOKUP($J8,'Ergebnisse Basisszenario'!$A$1:$H$21,HLOOKUP(L$1,'Ergebnisse Basisszenario'!$B$1:$G$21,21,FALSE)+1,FALSE)
)
/
VLOOKUP($J8,'Ergebnisse Basisszenario'!$A$1:$H$21,HLOOKUP(L$1,'Ergebnisse Basisszenario'!$B$1:$G$21,21,FALSE)+1,FALSE)</f>
        <v>-7.2409794130741053E-4</v>
      </c>
      <c r="M8" s="192">
        <f>(
VLOOKUP($J8,$A$2:$G$18,HLOOKUP(M$1,$B$1:$G$19,19,FALSE)+1,FALSE)
-
VLOOKUP($J8,'Ergebnisse Basisszenario'!$A$1:$H$21,HLOOKUP(M$1,'Ergebnisse Basisszenario'!$B$1:$G$21,21,FALSE)+1,FALSE)
)
/
VLOOKUP($J8,'Ergebnisse Basisszenario'!$A$1:$H$21,HLOOKUP(M$1,'Ergebnisse Basisszenario'!$B$1:$G$21,21,FALSE)+1,FALSE)</f>
        <v>-4.4914967603718682E-4</v>
      </c>
      <c r="N8" s="192">
        <f>(
VLOOKUP($J8,$A$2:$G$18,HLOOKUP(N$1,$B$1:$G$19,19,FALSE)+1,FALSE)
-
VLOOKUP($J8,'Ergebnisse Basisszenario'!$A$1:$H$21,HLOOKUP(N$1,'Ergebnisse Basisszenario'!$B$1:$G$21,21,FALSE)+1,FALSE)
)
/
VLOOKUP($J8,'Ergebnisse Basisszenario'!$A$1:$H$21,HLOOKUP(N$1,'Ergebnisse Basisszenario'!$B$1:$G$21,21,FALSE)+1,FALSE)</f>
        <v>-6.6552860408683814E-4</v>
      </c>
      <c r="O8" s="192">
        <f>(
VLOOKUP($J8,$A$2:$G$18,HLOOKUP(O$1,$B$1:$G$19,19,FALSE)+1,FALSE)
-
VLOOKUP($J8,'Ergebnisse Basisszenario'!$A$1:$H$21,HLOOKUP(O$1,'Ergebnisse Basisszenario'!$B$1:$G$21,21,FALSE)+1,FALSE)
)
/
VLOOKUP($J8,'Ergebnisse Basisszenario'!$A$1:$H$21,HLOOKUP(O$1,'Ergebnisse Basisszenario'!$B$1:$G$21,21,FALSE)+1,FALSE)</f>
        <v>-2.0908375166425839E-4</v>
      </c>
      <c r="P8" s="192">
        <f>(
VLOOKUP($J8,$A$2:$G$18,HLOOKUP(P$1,$B$1:$G$19,19,FALSE)+1,FALSE)
-
VLOOKUP($J8,'Ergebnisse Basisszenario'!$A$1:$H$21,HLOOKUP(P$1,'Ergebnisse Basisszenario'!$B$1:$G$21,21,FALSE)+1,FALSE)
)
/
VLOOKUP($J8,'Ergebnisse Basisszenario'!$A$1:$H$21,HLOOKUP(P$1,'Ergebnisse Basisszenario'!$B$1:$G$21,21,FALSE)+1,FALSE)</f>
        <v>-7.2842947237258002E-4</v>
      </c>
      <c r="R8" s="185" t="s">
        <v>914</v>
      </c>
      <c r="S8" s="185" t="b">
        <f>IF(
IF((VLOOKUP($R8,$A$2:$G$18,HLOOKUP(S$1,$B$1:$G$19,19,FALSE)+1,FALSE)-VLOOKUP($R8,$A$2:$G$18,HLOOKUP(S$1,$B$1:$G$19,19,FALSE)+2,FALSE))&lt;0,TRUE,FALSE)
=
IF((VLOOKUP($R8,'Ergebnisse Basisszenario'!$A$2:$G$20,HLOOKUP(S$1,'Ergebnisse Basisszenario'!$B$1:$G$21,21,FALSE)+1,FALSE)-VLOOKUP($R8,'Ergebnisse Basisszenario'!$A$2:$G$20,HLOOKUP(S$1,'Ergebnisse Basisszenario'!$B$1:$G$21,21,FALSE)+2,FALSE))&lt;0,TRUE,FALSE),
TRUE,FALSE)</f>
        <v>1</v>
      </c>
      <c r="T8" s="185" t="b">
        <f>IF(
IF((VLOOKUP($R8,$A$2:$G$18,HLOOKUP(T$1,$B$1:$G$19,19,FALSE)+1,FALSE)-VLOOKUP($R8,$A$2:$G$18,HLOOKUP(T$1,$B$1:$G$19,19,FALSE)+2,FALSE))&lt;0,TRUE,FALSE)
=
IF((VLOOKUP($R8,'Ergebnisse Basisszenario'!$A$2:$G$20,HLOOKUP(T$1,'Ergebnisse Basisszenario'!$B$1:$G$21,21,FALSE)+1,FALSE)-VLOOKUP($R8,'Ergebnisse Basisszenario'!$A$2:$G$20,HLOOKUP(T$1,'Ergebnisse Basisszenario'!$B$1:$G$21,21,FALSE)+2,FALSE))&lt;0,TRUE,FALSE),
TRUE,FALSE)</f>
        <v>1</v>
      </c>
      <c r="U8" s="185" t="b">
        <f>IF(
IF((VLOOKUP($R8,$A$2:$G$18,HLOOKUP(U$1,$B$1:$G$19,19,FALSE)+1,FALSE)-VLOOKUP($R8,$A$2:$G$18,HLOOKUP(U$1,$B$1:$G$19,19,FALSE)+2,FALSE))&lt;0,TRUE,FALSE)
=
IF((VLOOKUP($R8,'Ergebnisse Basisszenario'!$A$2:$G$20,HLOOKUP(U$1,'Ergebnisse Basisszenario'!$B$1:$G$21,21,FALSE)+1,FALSE)-VLOOKUP($R8,'Ergebnisse Basisszenario'!$A$2:$G$20,HLOOKUP(U$1,'Ergebnisse Basisszenario'!$B$1:$G$21,21,FALSE)+2,FALSE))&lt;0,TRUE,FALSE),
TRUE,FALSE)</f>
        <v>1</v>
      </c>
    </row>
    <row r="9" spans="1:21" x14ac:dyDescent="0.3">
      <c r="A9" s="185" t="s">
        <v>916</v>
      </c>
      <c r="B9" s="191">
        <v>0.88708485021816486</v>
      </c>
      <c r="C9" s="191">
        <v>0.28216841259462161</v>
      </c>
      <c r="D9" s="191">
        <v>0.50153598243895325</v>
      </c>
      <c r="E9" s="191">
        <v>0.30074885060827711</v>
      </c>
      <c r="F9" s="191">
        <v>1.576454240884408</v>
      </c>
      <c r="G9" s="191">
        <v>0.43651054361859432</v>
      </c>
      <c r="H9" s="185" t="s">
        <v>917</v>
      </c>
      <c r="J9" s="185" t="s">
        <v>916</v>
      </c>
      <c r="K9" s="192">
        <f>(
VLOOKUP($J9,$A$2:$G$18,HLOOKUP(K$1,$B$1:$G$19,19,FALSE)+1,FALSE)
-
VLOOKUP($J9,'Ergebnisse Basisszenario'!$A$1:$H$21,HLOOKUP(K$1,'Ergebnisse Basisszenario'!$B$1:$G$21,21,FALSE)+1,FALSE)
)
/
VLOOKUP($J9,'Ergebnisse Basisszenario'!$A$1:$H$21,HLOOKUP(K$1,'Ergebnisse Basisszenario'!$B$1:$G$21,21,FALSE)+1,FALSE)</f>
        <v>9.5955051772369336E-5</v>
      </c>
      <c r="L9" s="192">
        <f>(
VLOOKUP($J9,$A$2:$G$18,HLOOKUP(L$1,$B$1:$G$19,19,FALSE)+1,FALSE)
-
VLOOKUP($J9,'Ergebnisse Basisszenario'!$A$1:$H$21,HLOOKUP(L$1,'Ergebnisse Basisszenario'!$B$1:$G$21,21,FALSE)+1,FALSE)
)
/
VLOOKUP($J9,'Ergebnisse Basisszenario'!$A$1:$H$21,HLOOKUP(L$1,'Ergebnisse Basisszenario'!$B$1:$G$21,21,FALSE)+1,FALSE)</f>
        <v>2.0113101801830298E-4</v>
      </c>
      <c r="M9" s="192">
        <f>(
VLOOKUP($J9,$A$2:$G$18,HLOOKUP(M$1,$B$1:$G$19,19,FALSE)+1,FALSE)
-
VLOOKUP($J9,'Ergebnisse Basisszenario'!$A$1:$H$21,HLOOKUP(M$1,'Ergebnisse Basisszenario'!$B$1:$G$21,21,FALSE)+1,FALSE)
)
/
VLOOKUP($J9,'Ergebnisse Basisszenario'!$A$1:$H$21,HLOOKUP(M$1,'Ergebnisse Basisszenario'!$B$1:$G$21,21,FALSE)+1,FALSE)</f>
        <v>1.1314806870834124E-4</v>
      </c>
      <c r="N9" s="192">
        <f>(
VLOOKUP($J9,$A$2:$G$18,HLOOKUP(N$1,$B$1:$G$19,19,FALSE)+1,FALSE)
-
VLOOKUP($J9,'Ergebnisse Basisszenario'!$A$1:$H$21,HLOOKUP(N$1,'Ergebnisse Basisszenario'!$B$1:$G$21,21,FALSE)+1,FALSE)
)
/
VLOOKUP($J9,'Ergebnisse Basisszenario'!$A$1:$H$21,HLOOKUP(N$1,'Ergebnisse Basisszenario'!$B$1:$G$21,21,FALSE)+1,FALSE)</f>
        <v>1.8870268252381886E-4</v>
      </c>
      <c r="O9" s="192">
        <f>(
VLOOKUP($J9,$A$2:$G$18,HLOOKUP(O$1,$B$1:$G$19,19,FALSE)+1,FALSE)
-
VLOOKUP($J9,'Ergebnisse Basisszenario'!$A$1:$H$21,HLOOKUP(O$1,'Ergebnisse Basisszenario'!$B$1:$G$21,21,FALSE)+1,FALSE)
)
/
VLOOKUP($J9,'Ergebnisse Basisszenario'!$A$1:$H$21,HLOOKUP(O$1,'Ergebnisse Basisszenario'!$B$1:$G$21,21,FALSE)+1,FALSE)</f>
        <v>5.6992252140690833E-5</v>
      </c>
      <c r="P9" s="192">
        <f>(
VLOOKUP($J9,$A$2:$G$18,HLOOKUP(P$1,$B$1:$G$19,19,FALSE)+1,FALSE)
-
VLOOKUP($J9,'Ergebnisse Basisszenario'!$A$1:$H$21,HLOOKUP(P$1,'Ergebnisse Basisszenario'!$B$1:$G$21,21,FALSE)+1,FALSE)
)
/
VLOOKUP($J9,'Ergebnisse Basisszenario'!$A$1:$H$21,HLOOKUP(P$1,'Ergebnisse Basisszenario'!$B$1:$G$21,21,FALSE)+1,FALSE)</f>
        <v>2.0585768901094199E-4</v>
      </c>
      <c r="R9" s="185" t="s">
        <v>916</v>
      </c>
      <c r="S9" s="185" t="b">
        <f>IF(
IF((VLOOKUP($R9,$A$2:$G$18,HLOOKUP(S$1,$B$1:$G$19,19,FALSE)+1,FALSE)-VLOOKUP($R9,$A$2:$G$18,HLOOKUP(S$1,$B$1:$G$19,19,FALSE)+2,FALSE))&lt;0,TRUE,FALSE)
=
IF((VLOOKUP($R9,'Ergebnisse Basisszenario'!$A$2:$G$20,HLOOKUP(S$1,'Ergebnisse Basisszenario'!$B$1:$G$21,21,FALSE)+1,FALSE)-VLOOKUP($R9,'Ergebnisse Basisszenario'!$A$2:$G$20,HLOOKUP(S$1,'Ergebnisse Basisszenario'!$B$1:$G$21,21,FALSE)+2,FALSE))&lt;0,TRUE,FALSE),
TRUE,FALSE)</f>
        <v>1</v>
      </c>
      <c r="T9" s="185" t="b">
        <f>IF(
IF((VLOOKUP($R9,$A$2:$G$18,HLOOKUP(T$1,$B$1:$G$19,19,FALSE)+1,FALSE)-VLOOKUP($R9,$A$2:$G$18,HLOOKUP(T$1,$B$1:$G$19,19,FALSE)+2,FALSE))&lt;0,TRUE,FALSE)
=
IF((VLOOKUP($R9,'Ergebnisse Basisszenario'!$A$2:$G$20,HLOOKUP(T$1,'Ergebnisse Basisszenario'!$B$1:$G$21,21,FALSE)+1,FALSE)-VLOOKUP($R9,'Ergebnisse Basisszenario'!$A$2:$G$20,HLOOKUP(T$1,'Ergebnisse Basisszenario'!$B$1:$G$21,21,FALSE)+2,FALSE))&lt;0,TRUE,FALSE),
TRUE,FALSE)</f>
        <v>1</v>
      </c>
      <c r="U9" s="185" t="b">
        <f>IF(
IF((VLOOKUP($R9,$A$2:$G$18,HLOOKUP(U$1,$B$1:$G$19,19,FALSE)+1,FALSE)-VLOOKUP($R9,$A$2:$G$18,HLOOKUP(U$1,$B$1:$G$19,19,FALSE)+2,FALSE))&lt;0,TRUE,FALSE)
=
IF((VLOOKUP($R9,'Ergebnisse Basisszenario'!$A$2:$G$20,HLOOKUP(U$1,'Ergebnisse Basisszenario'!$B$1:$G$21,21,FALSE)+1,FALSE)-VLOOKUP($R9,'Ergebnisse Basisszenario'!$A$2:$G$20,HLOOKUP(U$1,'Ergebnisse Basisszenario'!$B$1:$G$21,21,FALSE)+2,FALSE))&lt;0,TRUE,FALSE),
TRUE,FALSE)</f>
        <v>1</v>
      </c>
    </row>
    <row r="10" spans="1:21" x14ac:dyDescent="0.3">
      <c r="A10" s="185" t="s">
        <v>918</v>
      </c>
      <c r="B10" s="191">
        <v>4.2576372874630728E-7</v>
      </c>
      <c r="C10" s="191">
        <v>2.5438910847892191E-8</v>
      </c>
      <c r="D10" s="191">
        <v>2.7211302881760459E-8</v>
      </c>
      <c r="E10" s="191">
        <v>2.3558451987397851E-8</v>
      </c>
      <c r="F10" s="191">
        <v>5.0008254572765539E-7</v>
      </c>
      <c r="G10" s="191">
        <v>3.5630811992008432E-8</v>
      </c>
      <c r="H10" s="185" t="s">
        <v>919</v>
      </c>
      <c r="J10" s="185" t="s">
        <v>918</v>
      </c>
      <c r="K10" s="192">
        <f>(
VLOOKUP($J10,$A$2:$G$18,HLOOKUP(K$1,$B$1:$G$19,19,FALSE)+1,FALSE)
-
VLOOKUP($J10,'Ergebnisse Basisszenario'!$A$1:$H$21,HLOOKUP(K$1,'Ergebnisse Basisszenario'!$B$1:$G$21,21,FALSE)+1,FALSE)
)
/
VLOOKUP($J10,'Ergebnisse Basisszenario'!$A$1:$H$21,HLOOKUP(K$1,'Ergebnisse Basisszenario'!$B$1:$G$21,21,FALSE)+1,FALSE)</f>
        <v>6.4976448849155411E-4</v>
      </c>
      <c r="L10" s="192">
        <f>(
VLOOKUP($J10,$A$2:$G$18,HLOOKUP(L$1,$B$1:$G$19,19,FALSE)+1,FALSE)
-
VLOOKUP($J10,'Ergebnisse Basisszenario'!$A$1:$H$21,HLOOKUP(L$1,'Ergebnisse Basisszenario'!$B$1:$G$21,21,FALSE)+1,FALSE)
)
/
VLOOKUP($J10,'Ergebnisse Basisszenario'!$A$1:$H$21,HLOOKUP(L$1,'Ergebnisse Basisszenario'!$B$1:$G$21,21,FALSE)+1,FALSE)</f>
        <v>7.2981168713877305E-3</v>
      </c>
      <c r="M10" s="192">
        <f>(
VLOOKUP($J10,$A$2:$G$18,HLOOKUP(M$1,$B$1:$G$19,19,FALSE)+1,FALSE)
-
VLOOKUP($J10,'Ergebnisse Basisszenario'!$A$1:$H$21,HLOOKUP(M$1,'Ergebnisse Basisszenario'!$B$1:$G$21,21,FALSE)+1,FALSE)
)
/
VLOOKUP($J10,'Ergebnisse Basisszenario'!$A$1:$H$21,HLOOKUP(M$1,'Ergebnisse Basisszenario'!$B$1:$G$21,21,FALSE)+1,FALSE)</f>
        <v>6.8195166530620266E-3</v>
      </c>
      <c r="N10" s="192">
        <f>(
VLOOKUP($J10,$A$2:$G$18,HLOOKUP(N$1,$B$1:$G$19,19,FALSE)+1,FALSE)
-
VLOOKUP($J10,'Ergebnisse Basisszenario'!$A$1:$H$21,HLOOKUP(N$1,'Ergebnisse Basisszenario'!$B$1:$G$21,21,FALSE)+1,FALSE)
)
/
VLOOKUP($J10,'Ergebnisse Basisszenario'!$A$1:$H$21,HLOOKUP(N$1,'Ergebnisse Basisszenario'!$B$1:$G$21,21,FALSE)+1,FALSE)</f>
        <v>7.8852532523742257E-3</v>
      </c>
      <c r="O10" s="192">
        <f>(
VLOOKUP($J10,$A$2:$G$18,HLOOKUP(O$1,$B$1:$G$19,19,FALSE)+1,FALSE)
-
VLOOKUP($J10,'Ergebnisse Basisszenario'!$A$1:$H$21,HLOOKUP(O$1,'Ergebnisse Basisszenario'!$B$1:$G$21,21,FALSE)+1,FALSE)
)
/
VLOOKUP($J10,'Ergebnisse Basisszenario'!$A$1:$H$21,HLOOKUP(O$1,'Ergebnisse Basisszenario'!$B$1:$G$21,21,FALSE)+1,FALSE)</f>
        <v>5.8389593175379659E-4</v>
      </c>
      <c r="P10" s="192">
        <f>(
VLOOKUP($J10,$A$2:$G$18,HLOOKUP(P$1,$B$1:$G$19,19,FALSE)+1,FALSE)
-
VLOOKUP($J10,'Ergebnisse Basisszenario'!$A$1:$H$21,HLOOKUP(P$1,'Ergebnisse Basisszenario'!$B$1:$G$21,21,FALSE)+1,FALSE)
)
/
VLOOKUP($J10,'Ergebnisse Basisszenario'!$A$1:$H$21,HLOOKUP(P$1,'Ergebnisse Basisszenario'!$B$1:$G$21,21,FALSE)+1,FALSE)</f>
        <v>8.257898691936329E-3</v>
      </c>
      <c r="R10" s="185" t="s">
        <v>918</v>
      </c>
      <c r="S10" s="185" t="b">
        <f>IF(
IF((VLOOKUP($R10,$A$2:$G$18,HLOOKUP(S$1,$B$1:$G$19,19,FALSE)+1,FALSE)-VLOOKUP($R10,$A$2:$G$18,HLOOKUP(S$1,$B$1:$G$19,19,FALSE)+2,FALSE))&lt;0,TRUE,FALSE)
=
IF((VLOOKUP($R10,'Ergebnisse Basisszenario'!$A$2:$G$20,HLOOKUP(S$1,'Ergebnisse Basisszenario'!$B$1:$G$21,21,FALSE)+1,FALSE)-VLOOKUP($R10,'Ergebnisse Basisszenario'!$A$2:$G$20,HLOOKUP(S$1,'Ergebnisse Basisszenario'!$B$1:$G$21,21,FALSE)+2,FALSE))&lt;0,TRUE,FALSE),
TRUE,FALSE)</f>
        <v>1</v>
      </c>
      <c r="T10" s="185" t="b">
        <f>IF(
IF((VLOOKUP($R10,$A$2:$G$18,HLOOKUP(T$1,$B$1:$G$19,19,FALSE)+1,FALSE)-VLOOKUP($R10,$A$2:$G$18,HLOOKUP(T$1,$B$1:$G$19,19,FALSE)+2,FALSE))&lt;0,TRUE,FALSE)
=
IF((VLOOKUP($R10,'Ergebnisse Basisszenario'!$A$2:$G$20,HLOOKUP(T$1,'Ergebnisse Basisszenario'!$B$1:$G$21,21,FALSE)+1,FALSE)-VLOOKUP($R10,'Ergebnisse Basisszenario'!$A$2:$G$20,HLOOKUP(T$1,'Ergebnisse Basisszenario'!$B$1:$G$21,21,FALSE)+2,FALSE))&lt;0,TRUE,FALSE),
TRUE,FALSE)</f>
        <v>1</v>
      </c>
      <c r="U10" s="185" t="b">
        <f>IF(
IF((VLOOKUP($R10,$A$2:$G$18,HLOOKUP(U$1,$B$1:$G$19,19,FALSE)+1,FALSE)-VLOOKUP($R10,$A$2:$G$18,HLOOKUP(U$1,$B$1:$G$19,19,FALSE)+2,FALSE))&lt;0,TRUE,FALSE)
=
IF((VLOOKUP($R10,'Ergebnisse Basisszenario'!$A$2:$G$20,HLOOKUP(U$1,'Ergebnisse Basisszenario'!$B$1:$G$21,21,FALSE)+1,FALSE)-VLOOKUP($R10,'Ergebnisse Basisszenario'!$A$2:$G$20,HLOOKUP(U$1,'Ergebnisse Basisszenario'!$B$1:$G$21,21,FALSE)+2,FALSE))&lt;0,TRUE,FALSE),
TRUE,FALSE)</f>
        <v>1</v>
      </c>
    </row>
    <row r="11" spans="1:21" x14ac:dyDescent="0.3">
      <c r="A11" s="185" t="s">
        <v>920</v>
      </c>
      <c r="B11" s="191">
        <v>2.1583577458585059E-6</v>
      </c>
      <c r="C11" s="191">
        <v>4.8365116863632929E-7</v>
      </c>
      <c r="D11" s="191">
        <v>6.2026347104850117E-7</v>
      </c>
      <c r="E11" s="191">
        <v>5.0005046067381318E-7</v>
      </c>
      <c r="F11" s="191">
        <v>3.29837477311279E-6</v>
      </c>
      <c r="G11" s="191">
        <v>7.4267238597570709E-7</v>
      </c>
      <c r="H11" s="185" t="s">
        <v>919</v>
      </c>
      <c r="J11" s="185" t="s">
        <v>920</v>
      </c>
      <c r="K11" s="192">
        <f>(
VLOOKUP($J11,$A$2:$G$18,HLOOKUP(K$1,$B$1:$G$19,19,FALSE)+1,FALSE)
-
VLOOKUP($J11,'Ergebnisse Basisszenario'!$A$1:$H$21,HLOOKUP(K$1,'Ergebnisse Basisszenario'!$B$1:$G$21,21,FALSE)+1,FALSE)
)
/
VLOOKUP($J11,'Ergebnisse Basisszenario'!$A$1:$H$21,HLOOKUP(K$1,'Ergebnisse Basisszenario'!$B$1:$G$21,21,FALSE)+1,FALSE)</f>
        <v>-6.6620183185898867E-3</v>
      </c>
      <c r="L11" s="192">
        <f>(
VLOOKUP($J11,$A$2:$G$18,HLOOKUP(L$1,$B$1:$G$19,19,FALSE)+1,FALSE)
-
VLOOKUP($J11,'Ergebnisse Basisszenario'!$A$1:$H$21,HLOOKUP(L$1,'Ergebnisse Basisszenario'!$B$1:$G$21,21,FALSE)+1,FALSE)
)
/
VLOOKUP($J11,'Ergebnisse Basisszenario'!$A$1:$H$21,HLOOKUP(L$1,'Ergebnisse Basisszenario'!$B$1:$G$21,21,FALSE)+1,FALSE)</f>
        <v>-1.9562689829179046E-2</v>
      </c>
      <c r="M11" s="192">
        <f>(
VLOOKUP($J11,$A$2:$G$18,HLOOKUP(M$1,$B$1:$G$19,19,FALSE)+1,FALSE)
-
VLOOKUP($J11,'Ergebnisse Basisszenario'!$A$1:$H$21,HLOOKUP(M$1,'Ergebnisse Basisszenario'!$B$1:$G$21,21,FALSE)+1,FALSE)
)
/
VLOOKUP($J11,'Ergebnisse Basisszenario'!$A$1:$H$21,HLOOKUP(M$1,'Ergebnisse Basisszenario'!$B$1:$G$21,21,FALSE)+1,FALSE)</f>
        <v>-1.5320039158420409E-2</v>
      </c>
      <c r="N11" s="192">
        <f>(
VLOOKUP($J11,$A$2:$G$18,HLOOKUP(N$1,$B$1:$G$19,19,FALSE)+1,FALSE)
-
VLOOKUP($J11,'Ergebnisse Basisszenario'!$A$1:$H$21,HLOOKUP(N$1,'Ergebnisse Basisszenario'!$B$1:$G$21,21,FALSE)+1,FALSE)
)
/
VLOOKUP($J11,'Ergebnisse Basisszenario'!$A$1:$H$21,HLOOKUP(N$1,'Ergebnisse Basisszenario'!$B$1:$G$21,21,FALSE)+1,FALSE)</f>
        <v>-1.8933272951723441E-2</v>
      </c>
      <c r="O11" s="192">
        <f>(
VLOOKUP($J11,$A$2:$G$18,HLOOKUP(O$1,$B$1:$G$19,19,FALSE)+1,FALSE)
-
VLOOKUP($J11,'Ergebnisse Basisszenario'!$A$1:$H$21,HLOOKUP(O$1,'Ergebnisse Basisszenario'!$B$1:$G$21,21,FALSE)+1,FALSE)
)
/
VLOOKUP($J11,'Ergebnisse Basisszenario'!$A$1:$H$21,HLOOKUP(O$1,'Ergebnisse Basisszenario'!$B$1:$G$21,21,FALSE)+1,FALSE)</f>
        <v>-4.6111165447855224E-3</v>
      </c>
      <c r="P11" s="192">
        <f>(
VLOOKUP($J11,$A$2:$G$18,HLOOKUP(P$1,$B$1:$G$19,19,FALSE)+1,FALSE)
-
VLOOKUP($J11,'Ergebnisse Basisszenario'!$A$1:$H$21,HLOOKUP(P$1,'Ergebnisse Basisszenario'!$B$1:$G$21,21,FALSE)+1,FALSE)
)
/
VLOOKUP($J11,'Ergebnisse Basisszenario'!$A$1:$H$21,HLOOKUP(P$1,'Ergebnisse Basisszenario'!$B$1:$G$21,21,FALSE)+1,FALSE)</f>
        <v>-2.0159120973219057E-2</v>
      </c>
      <c r="R11" s="185" t="s">
        <v>920</v>
      </c>
      <c r="S11" s="185" t="b">
        <f>IF(
IF((VLOOKUP($R11,$A$2:$G$18,HLOOKUP(S$1,$B$1:$G$19,19,FALSE)+1,FALSE)-VLOOKUP($R11,$A$2:$G$18,HLOOKUP(S$1,$B$1:$G$19,19,FALSE)+2,FALSE))&lt;0,TRUE,FALSE)
=
IF((VLOOKUP($R11,'Ergebnisse Basisszenario'!$A$2:$G$20,HLOOKUP(S$1,'Ergebnisse Basisszenario'!$B$1:$G$21,21,FALSE)+1,FALSE)-VLOOKUP($R11,'Ergebnisse Basisszenario'!$A$2:$G$20,HLOOKUP(S$1,'Ergebnisse Basisszenario'!$B$1:$G$21,21,FALSE)+2,FALSE))&lt;0,TRUE,FALSE),
TRUE,FALSE)</f>
        <v>1</v>
      </c>
      <c r="T11" s="185" t="b">
        <f>IF(
IF((VLOOKUP($R11,$A$2:$G$18,HLOOKUP(T$1,$B$1:$G$19,19,FALSE)+1,FALSE)-VLOOKUP($R11,$A$2:$G$18,HLOOKUP(T$1,$B$1:$G$19,19,FALSE)+2,FALSE))&lt;0,TRUE,FALSE)
=
IF((VLOOKUP($R11,'Ergebnisse Basisszenario'!$A$2:$G$20,HLOOKUP(T$1,'Ergebnisse Basisszenario'!$B$1:$G$21,21,FALSE)+1,FALSE)-VLOOKUP($R11,'Ergebnisse Basisszenario'!$A$2:$G$20,HLOOKUP(T$1,'Ergebnisse Basisszenario'!$B$1:$G$21,21,FALSE)+2,FALSE))&lt;0,TRUE,FALSE),
TRUE,FALSE)</f>
        <v>1</v>
      </c>
      <c r="U11" s="185" t="b">
        <f>IF(
IF((VLOOKUP($R11,$A$2:$G$18,HLOOKUP(U$1,$B$1:$G$19,19,FALSE)+1,FALSE)-VLOOKUP($R11,$A$2:$G$18,HLOOKUP(U$1,$B$1:$G$19,19,FALSE)+2,FALSE))&lt;0,TRUE,FALSE)
=
IF((VLOOKUP($R11,'Ergebnisse Basisszenario'!$A$2:$G$20,HLOOKUP(U$1,'Ergebnisse Basisszenario'!$B$1:$G$21,21,FALSE)+1,FALSE)-VLOOKUP($R11,'Ergebnisse Basisszenario'!$A$2:$G$20,HLOOKUP(U$1,'Ergebnisse Basisszenario'!$B$1:$G$21,21,FALSE)+2,FALSE))&lt;0,TRUE,FALSE),
TRUE,FALSE)</f>
        <v>1</v>
      </c>
    </row>
    <row r="12" spans="1:21" x14ac:dyDescent="0.3">
      <c r="A12" s="185" t="s">
        <v>921</v>
      </c>
      <c r="B12" s="191">
        <v>6.1633087004783889</v>
      </c>
      <c r="C12" s="191">
        <v>4.4482835019235489</v>
      </c>
      <c r="D12" s="191">
        <v>5.3868024020033758</v>
      </c>
      <c r="E12" s="191">
        <v>5.0418767805211964</v>
      </c>
      <c r="F12" s="191">
        <v>17.79109360302142</v>
      </c>
      <c r="G12" s="191">
        <v>7.5990072387968226</v>
      </c>
      <c r="H12" s="185" t="s">
        <v>922</v>
      </c>
      <c r="J12" s="185" t="s">
        <v>921</v>
      </c>
      <c r="K12" s="192">
        <f>(
VLOOKUP($J12,$A$2:$G$18,HLOOKUP(K$1,$B$1:$G$19,19,FALSE)+1,FALSE)
-
VLOOKUP($J12,'Ergebnisse Basisszenario'!$A$1:$H$21,HLOOKUP(K$1,'Ergebnisse Basisszenario'!$B$1:$G$21,21,FALSE)+1,FALSE)
)
/
VLOOKUP($J12,'Ergebnisse Basisszenario'!$A$1:$H$21,HLOOKUP(K$1,'Ergebnisse Basisszenario'!$B$1:$G$21,21,FALSE)+1,FALSE)</f>
        <v>-8.0732449674904272E-4</v>
      </c>
      <c r="L12" s="192">
        <f>(
VLOOKUP($J12,$A$2:$G$18,HLOOKUP(L$1,$B$1:$G$19,19,FALSE)+1,FALSE)
-
VLOOKUP($J12,'Ergebnisse Basisszenario'!$A$1:$H$21,HLOOKUP(L$1,'Ergebnisse Basisszenario'!$B$1:$G$21,21,FALSE)+1,FALSE)
)
/
VLOOKUP($J12,'Ergebnisse Basisszenario'!$A$1:$H$21,HLOOKUP(L$1,'Ergebnisse Basisszenario'!$B$1:$G$21,21,FALSE)+1,FALSE)</f>
        <v>-7.4577035568168569E-4</v>
      </c>
      <c r="M12" s="192">
        <f>(
VLOOKUP($J12,$A$2:$G$18,HLOOKUP(M$1,$B$1:$G$19,19,FALSE)+1,FALSE)
-
VLOOKUP($J12,'Ergebnisse Basisszenario'!$A$1:$H$21,HLOOKUP(M$1,'Ergebnisse Basisszenario'!$B$1:$G$21,21,FALSE)+1,FALSE)
)
/
VLOOKUP($J12,'Ergebnisse Basisszenario'!$A$1:$H$21,HLOOKUP(M$1,'Ergebnisse Basisszenario'!$B$1:$G$21,21,FALSE)+1,FALSE)</f>
        <v>-6.1591809286752662E-4</v>
      </c>
      <c r="N12" s="192">
        <f>(
VLOOKUP($J12,$A$2:$G$18,HLOOKUP(N$1,$B$1:$G$19,19,FALSE)+1,FALSE)
-
VLOOKUP($J12,'Ergebnisse Basisszenario'!$A$1:$H$21,HLOOKUP(N$1,'Ergebnisse Basisszenario'!$B$1:$G$21,21,FALSE)+1,FALSE)
)
/
VLOOKUP($J12,'Ergebnisse Basisszenario'!$A$1:$H$21,HLOOKUP(N$1,'Ergebnisse Basisszenario'!$B$1:$G$21,21,FALSE)+1,FALSE)</f>
        <v>-6.5802664598939818E-4</v>
      </c>
      <c r="O12" s="192">
        <f>(
VLOOKUP($J12,$A$2:$G$18,HLOOKUP(O$1,$B$1:$G$19,19,FALSE)+1,FALSE)
-
VLOOKUP($J12,'Ergebnisse Basisszenario'!$A$1:$H$21,HLOOKUP(O$1,'Ergebnisse Basisszenario'!$B$1:$G$21,21,FALSE)+1,FALSE)
)
/
VLOOKUP($J12,'Ergebnisse Basisszenario'!$A$1:$H$21,HLOOKUP(O$1,'Ergebnisse Basisszenario'!$B$1:$G$21,21,FALSE)+1,FALSE)</f>
        <v>-2.9536767964995615E-4</v>
      </c>
      <c r="P12" s="192">
        <f>(
VLOOKUP($J12,$A$2:$G$18,HLOOKUP(P$1,$B$1:$G$19,19,FALSE)+1,FALSE)
-
VLOOKUP($J12,'Ergebnisse Basisszenario'!$A$1:$H$21,HLOOKUP(P$1,'Ergebnisse Basisszenario'!$B$1:$G$21,21,FALSE)+1,FALSE)
)
/
VLOOKUP($J12,'Ergebnisse Basisszenario'!$A$1:$H$21,HLOOKUP(P$1,'Ergebnisse Basisszenario'!$B$1:$G$21,21,FALSE)+1,FALSE)</f>
        <v>-6.9125254340506547E-4</v>
      </c>
      <c r="R12" s="185" t="s">
        <v>921</v>
      </c>
      <c r="S12" s="185" t="b">
        <f>IF(
IF((VLOOKUP($R12,$A$2:$G$18,HLOOKUP(S$1,$B$1:$G$19,19,FALSE)+1,FALSE)-VLOOKUP($R12,$A$2:$G$18,HLOOKUP(S$1,$B$1:$G$19,19,FALSE)+2,FALSE))&lt;0,TRUE,FALSE)
=
IF((VLOOKUP($R12,'Ergebnisse Basisszenario'!$A$2:$G$20,HLOOKUP(S$1,'Ergebnisse Basisszenario'!$B$1:$G$21,21,FALSE)+1,FALSE)-VLOOKUP($R12,'Ergebnisse Basisszenario'!$A$2:$G$20,HLOOKUP(S$1,'Ergebnisse Basisszenario'!$B$1:$G$21,21,FALSE)+2,FALSE))&lt;0,TRUE,FALSE),
TRUE,FALSE)</f>
        <v>1</v>
      </c>
      <c r="T12" s="185" t="b">
        <f>IF(
IF((VLOOKUP($R12,$A$2:$G$18,HLOOKUP(T$1,$B$1:$G$19,19,FALSE)+1,FALSE)-VLOOKUP($R12,$A$2:$G$18,HLOOKUP(T$1,$B$1:$G$19,19,FALSE)+2,FALSE))&lt;0,TRUE,FALSE)
=
IF((VLOOKUP($R12,'Ergebnisse Basisszenario'!$A$2:$G$20,HLOOKUP(T$1,'Ergebnisse Basisszenario'!$B$1:$G$21,21,FALSE)+1,FALSE)-VLOOKUP($R12,'Ergebnisse Basisszenario'!$A$2:$G$20,HLOOKUP(T$1,'Ergebnisse Basisszenario'!$B$1:$G$21,21,FALSE)+2,FALSE))&lt;0,TRUE,FALSE),
TRUE,FALSE)</f>
        <v>1</v>
      </c>
      <c r="U12" s="185" t="b">
        <f>IF(
IF((VLOOKUP($R12,$A$2:$G$18,HLOOKUP(U$1,$B$1:$G$19,19,FALSE)+1,FALSE)-VLOOKUP($R12,$A$2:$G$18,HLOOKUP(U$1,$B$1:$G$19,19,FALSE)+2,FALSE))&lt;0,TRUE,FALSE)
=
IF((VLOOKUP($R12,'Ergebnisse Basisszenario'!$A$2:$G$20,HLOOKUP(U$1,'Ergebnisse Basisszenario'!$B$1:$G$21,21,FALSE)+1,FALSE)-VLOOKUP($R12,'Ergebnisse Basisszenario'!$A$2:$G$20,HLOOKUP(U$1,'Ergebnisse Basisszenario'!$B$1:$G$21,21,FALSE)+2,FALSE))&lt;0,TRUE,FALSE),
TRUE,FALSE)</f>
        <v>1</v>
      </c>
    </row>
    <row r="13" spans="1:21" x14ac:dyDescent="0.3">
      <c r="A13" s="185" t="s">
        <v>923</v>
      </c>
      <c r="B13" s="191">
        <v>3263.553926146607</v>
      </c>
      <c r="C13" s="191">
        <v>140.48784630864481</v>
      </c>
      <c r="D13" s="191">
        <v>198.84565330108319</v>
      </c>
      <c r="E13" s="191">
        <v>129.72840428499339</v>
      </c>
      <c r="F13" s="191">
        <v>6365.1957930971157</v>
      </c>
      <c r="G13" s="191">
        <v>191.98765046653321</v>
      </c>
      <c r="H13" s="185" t="s">
        <v>924</v>
      </c>
      <c r="J13" s="185" t="s">
        <v>923</v>
      </c>
      <c r="K13" s="192">
        <f>(
VLOOKUP($J13,$A$2:$G$18,HLOOKUP(K$1,$B$1:$G$19,19,FALSE)+1,FALSE)
-
VLOOKUP($J13,'Ergebnisse Basisszenario'!$A$1:$H$21,HLOOKUP(K$1,'Ergebnisse Basisszenario'!$B$1:$G$21,21,FALSE)+1,FALSE)
)
/
VLOOKUP($J13,'Ergebnisse Basisszenario'!$A$1:$H$21,HLOOKUP(K$1,'Ergebnisse Basisszenario'!$B$1:$G$21,21,FALSE)+1,FALSE)</f>
        <v>-1.6496562560730104E-3</v>
      </c>
      <c r="L13" s="192">
        <f>(
VLOOKUP($J13,$A$2:$G$18,HLOOKUP(L$1,$B$1:$G$19,19,FALSE)+1,FALSE)
-
VLOOKUP($J13,'Ergebnisse Basisszenario'!$A$1:$H$21,HLOOKUP(L$1,'Ergebnisse Basisszenario'!$B$1:$G$21,21,FALSE)+1,FALSE)
)
/
VLOOKUP($J13,'Ergebnisse Basisszenario'!$A$1:$H$21,HLOOKUP(L$1,'Ergebnisse Basisszenario'!$B$1:$G$21,21,FALSE)+1,FALSE)</f>
        <v>-2.4951547853087543E-2</v>
      </c>
      <c r="M13" s="192">
        <f>(
VLOOKUP($J13,$A$2:$G$18,HLOOKUP(M$1,$B$1:$G$19,19,FALSE)+1,FALSE)
-
VLOOKUP($J13,'Ergebnisse Basisszenario'!$A$1:$H$21,HLOOKUP(M$1,'Ergebnisse Basisszenario'!$B$1:$G$21,21,FALSE)+1,FALSE)
)
/
VLOOKUP($J13,'Ergebnisse Basisszenario'!$A$1:$H$21,HLOOKUP(M$1,'Ergebnisse Basisszenario'!$B$1:$G$21,21,FALSE)+1,FALSE)</f>
        <v>-1.7758738870031408E-2</v>
      </c>
      <c r="N13" s="192">
        <f>(
VLOOKUP($J13,$A$2:$G$18,HLOOKUP(N$1,$B$1:$G$19,19,FALSE)+1,FALSE)
-
VLOOKUP($J13,'Ergebnisse Basisszenario'!$A$1:$H$21,HLOOKUP(N$1,'Ergebnisse Basisszenario'!$B$1:$G$21,21,FALSE)+1,FALSE)
)
/
VLOOKUP($J13,'Ergebnisse Basisszenario'!$A$1:$H$21,HLOOKUP(N$1,'Ergebnisse Basisszenario'!$B$1:$G$21,21,FALSE)+1,FALSE)</f>
        <v>-2.6965181903536237E-2</v>
      </c>
      <c r="O13" s="192">
        <f>(
VLOOKUP($J13,$A$2:$G$18,HLOOKUP(O$1,$B$1:$G$19,19,FALSE)+1,FALSE)
-
VLOOKUP($J13,'Ergebnisse Basisszenario'!$A$1:$H$21,HLOOKUP(O$1,'Ergebnisse Basisszenario'!$B$1:$G$21,21,FALSE)+1,FALSE)
)
/
VLOOKUP($J13,'Ergebnisse Basisszenario'!$A$1:$H$21,HLOOKUP(O$1,'Ergebnisse Basisszenario'!$B$1:$G$21,21,FALSE)+1,FALSE)</f>
        <v>-8.9347500981494174E-4</v>
      </c>
      <c r="P13" s="192">
        <f>(
VLOOKUP($J13,$A$2:$G$18,HLOOKUP(P$1,$B$1:$G$19,19,FALSE)+1,FALSE)
-
VLOOKUP($J13,'Ergebnisse Basisszenario'!$A$1:$H$21,HLOOKUP(P$1,'Ergebnisse Basisszenario'!$B$1:$G$21,21,FALSE)+1,FALSE)
)
/
VLOOKUP($J13,'Ergebnisse Basisszenario'!$A$1:$H$21,HLOOKUP(P$1,'Ergebnisse Basisszenario'!$B$1:$G$21,21,FALSE)+1,FALSE)</f>
        <v>-2.879518768824068E-2</v>
      </c>
      <c r="R13" s="185" t="s">
        <v>923</v>
      </c>
      <c r="S13" s="185" t="b">
        <f>IF(
IF((VLOOKUP($R13,$A$2:$G$18,HLOOKUP(S$1,$B$1:$G$19,19,FALSE)+1,FALSE)-VLOOKUP($R13,$A$2:$G$18,HLOOKUP(S$1,$B$1:$G$19,19,FALSE)+2,FALSE))&lt;0,TRUE,FALSE)
=
IF((VLOOKUP($R13,'Ergebnisse Basisszenario'!$A$2:$G$20,HLOOKUP(S$1,'Ergebnisse Basisszenario'!$B$1:$G$21,21,FALSE)+1,FALSE)-VLOOKUP($R13,'Ergebnisse Basisszenario'!$A$2:$G$20,HLOOKUP(S$1,'Ergebnisse Basisszenario'!$B$1:$G$21,21,FALSE)+2,FALSE))&lt;0,TRUE,FALSE),
TRUE,FALSE)</f>
        <v>1</v>
      </c>
      <c r="T13" s="185" t="b">
        <f>IF(
IF((VLOOKUP($R13,$A$2:$G$18,HLOOKUP(T$1,$B$1:$G$19,19,FALSE)+1,FALSE)-VLOOKUP($R13,$A$2:$G$18,HLOOKUP(T$1,$B$1:$G$19,19,FALSE)+2,FALSE))&lt;0,TRUE,FALSE)
=
IF((VLOOKUP($R13,'Ergebnisse Basisszenario'!$A$2:$G$20,HLOOKUP(T$1,'Ergebnisse Basisszenario'!$B$1:$G$21,21,FALSE)+1,FALSE)-VLOOKUP($R13,'Ergebnisse Basisszenario'!$A$2:$G$20,HLOOKUP(T$1,'Ergebnisse Basisszenario'!$B$1:$G$21,21,FALSE)+2,FALSE))&lt;0,TRUE,FALSE),
TRUE,FALSE)</f>
        <v>1</v>
      </c>
      <c r="U13" s="185" t="b">
        <f>IF(
IF((VLOOKUP($R13,$A$2:$G$18,HLOOKUP(U$1,$B$1:$G$19,19,FALSE)+1,FALSE)-VLOOKUP($R13,$A$2:$G$18,HLOOKUP(U$1,$B$1:$G$19,19,FALSE)+2,FALSE))&lt;0,TRUE,FALSE)
=
IF((VLOOKUP($R13,'Ergebnisse Basisszenario'!$A$2:$G$20,HLOOKUP(U$1,'Ergebnisse Basisszenario'!$B$1:$G$21,21,FALSE)+1,FALSE)-VLOOKUP($R13,'Ergebnisse Basisszenario'!$A$2:$G$20,HLOOKUP(U$1,'Ergebnisse Basisszenario'!$B$1:$G$21,21,FALSE)+2,FALSE))&lt;0,TRUE,FALSE),
TRUE,FALSE)</f>
        <v>1</v>
      </c>
    </row>
    <row r="14" spans="1:21" x14ac:dyDescent="0.3">
      <c r="A14" s="185" t="s">
        <v>925</v>
      </c>
      <c r="B14" s="191">
        <v>8.9170325145283933E-4</v>
      </c>
      <c r="C14" s="191">
        <v>3.7262744530608042E-4</v>
      </c>
      <c r="D14" s="191">
        <v>3.7769594162164513E-4</v>
      </c>
      <c r="E14" s="191">
        <v>3.7526401249202742E-4</v>
      </c>
      <c r="F14" s="191">
        <v>1.6694206275297511E-3</v>
      </c>
      <c r="G14" s="191">
        <v>5.554499252189935E-4</v>
      </c>
      <c r="H14" s="185" t="s">
        <v>926</v>
      </c>
      <c r="J14" s="185" t="s">
        <v>925</v>
      </c>
      <c r="K14" s="192">
        <f>(
VLOOKUP($J14,$A$2:$G$18,HLOOKUP(K$1,$B$1:$G$19,19,FALSE)+1,FALSE)
-
VLOOKUP($J14,'Ergebnisse Basisszenario'!$A$1:$H$21,HLOOKUP(K$1,'Ergebnisse Basisszenario'!$B$1:$G$21,21,FALSE)+1,FALSE)
)
/
VLOOKUP($J14,'Ergebnisse Basisszenario'!$A$1:$H$21,HLOOKUP(K$1,'Ergebnisse Basisszenario'!$B$1:$G$21,21,FALSE)+1,FALSE)</f>
        <v>4.3121757629570406E-2</v>
      </c>
      <c r="L14" s="192">
        <f>(
VLOOKUP($J14,$A$2:$G$18,HLOOKUP(L$1,$B$1:$G$19,19,FALSE)+1,FALSE)
-
VLOOKUP($J14,'Ergebnisse Basisszenario'!$A$1:$H$21,HLOOKUP(L$1,'Ergebnisse Basisszenario'!$B$1:$G$21,21,FALSE)+1,FALSE)
)
/
VLOOKUP($J14,'Ergebnisse Basisszenario'!$A$1:$H$21,HLOOKUP(L$1,'Ergebnisse Basisszenario'!$B$1:$G$21,21,FALSE)+1,FALSE)</f>
        <v>7.0606660658507805E-2</v>
      </c>
      <c r="M14" s="192">
        <f>(
VLOOKUP($J14,$A$2:$G$18,HLOOKUP(M$1,$B$1:$G$19,19,FALSE)+1,FALSE)
-
VLOOKUP($J14,'Ergebnisse Basisszenario'!$A$1:$H$21,HLOOKUP(M$1,'Ergebnisse Basisszenario'!$B$1:$G$21,21,FALSE)+1,FALSE)
)
/
VLOOKUP($J14,'Ergebnisse Basisszenario'!$A$1:$H$21,HLOOKUP(M$1,'Ergebnisse Basisszenario'!$B$1:$G$21,21,FALSE)+1,FALSE)</f>
        <v>6.9593213457616196E-2</v>
      </c>
      <c r="N14" s="192">
        <f>(
VLOOKUP($J14,$A$2:$G$18,HLOOKUP(N$1,$B$1:$G$19,19,FALSE)+1,FALSE)
-
VLOOKUP($J14,'Ergebnisse Basisszenario'!$A$1:$H$21,HLOOKUP(N$1,'Ergebnisse Basisszenario'!$B$1:$G$21,21,FALSE)+1,FALSE)
)
/
VLOOKUP($J14,'Ergebnisse Basisszenario'!$A$1:$H$21,HLOOKUP(N$1,'Ergebnisse Basisszenario'!$B$1:$G$21,21,FALSE)+1,FALSE)</f>
        <v>7.0075822482325689E-2</v>
      </c>
      <c r="O14" s="192">
        <f>(
VLOOKUP($J14,$A$2:$G$18,HLOOKUP(O$1,$B$1:$G$19,19,FALSE)+1,FALSE)
-
VLOOKUP($J14,'Ergebnisse Basisszenario'!$A$1:$H$21,HLOOKUP(O$1,'Ergebnisse Basisszenario'!$B$1:$G$21,21,FALSE)+1,FALSE)
)
/
VLOOKUP($J14,'Ergebnisse Basisszenario'!$A$1:$H$21,HLOOKUP(O$1,'Ergebnisse Basisszenario'!$B$1:$G$21,21,FALSE)+1,FALSE)</f>
        <v>2.3863783940759668E-2</v>
      </c>
      <c r="P14" s="192">
        <f>(
VLOOKUP($J14,$A$2:$G$18,HLOOKUP(P$1,$B$1:$G$19,19,FALSE)+1,FALSE)
-
VLOOKUP($J14,'Ergebnisse Basisszenario'!$A$1:$H$21,HLOOKUP(P$1,'Ergebnisse Basisszenario'!$B$1:$G$21,21,FALSE)+1,FALSE)
)
/
VLOOKUP($J14,'Ergebnisse Basisszenario'!$A$1:$H$21,HLOOKUP(P$1,'Ergebnisse Basisszenario'!$B$1:$G$21,21,FALSE)+1,FALSE)</f>
        <v>7.5328467628262188E-2</v>
      </c>
      <c r="R14" s="185" t="s">
        <v>925</v>
      </c>
      <c r="S14" s="185" t="b">
        <f>IF(
IF((VLOOKUP($R14,$A$2:$G$18,HLOOKUP(S$1,$B$1:$G$19,19,FALSE)+1,FALSE)-VLOOKUP($R14,$A$2:$G$18,HLOOKUP(S$1,$B$1:$G$19,19,FALSE)+2,FALSE))&lt;0,TRUE,FALSE)
=
IF((VLOOKUP($R14,'Ergebnisse Basisszenario'!$A$2:$G$20,HLOOKUP(S$1,'Ergebnisse Basisszenario'!$B$1:$G$21,21,FALSE)+1,FALSE)-VLOOKUP($R14,'Ergebnisse Basisszenario'!$A$2:$G$20,HLOOKUP(S$1,'Ergebnisse Basisszenario'!$B$1:$G$21,21,FALSE)+2,FALSE))&lt;0,TRUE,FALSE),
TRUE,FALSE)</f>
        <v>1</v>
      </c>
      <c r="T14" s="185" t="b">
        <f>IF(
IF((VLOOKUP($R14,$A$2:$G$18,HLOOKUP(T$1,$B$1:$G$19,19,FALSE)+1,FALSE)-VLOOKUP($R14,$A$2:$G$18,HLOOKUP(T$1,$B$1:$G$19,19,FALSE)+2,FALSE))&lt;0,TRUE,FALSE)
=
IF((VLOOKUP($R14,'Ergebnisse Basisszenario'!$A$2:$G$20,HLOOKUP(T$1,'Ergebnisse Basisszenario'!$B$1:$G$21,21,FALSE)+1,FALSE)-VLOOKUP($R14,'Ergebnisse Basisszenario'!$A$2:$G$20,HLOOKUP(T$1,'Ergebnisse Basisszenario'!$B$1:$G$21,21,FALSE)+2,FALSE))&lt;0,TRUE,FALSE),
TRUE,FALSE)</f>
        <v>1</v>
      </c>
      <c r="U14" s="185" t="b">
        <f>IF(
IF((VLOOKUP($R14,$A$2:$G$18,HLOOKUP(U$1,$B$1:$G$19,19,FALSE)+1,FALSE)-VLOOKUP($R14,$A$2:$G$18,HLOOKUP(U$1,$B$1:$G$19,19,FALSE)+2,FALSE))&lt;0,TRUE,FALSE)
=
IF((VLOOKUP($R14,'Ergebnisse Basisszenario'!$A$2:$G$20,HLOOKUP(U$1,'Ergebnisse Basisszenario'!$B$1:$G$21,21,FALSE)+1,FALSE)-VLOOKUP($R14,'Ergebnisse Basisszenario'!$A$2:$G$20,HLOOKUP(U$1,'Ergebnisse Basisszenario'!$B$1:$G$21,21,FALSE)+2,FALSE))&lt;0,TRUE,FALSE),
TRUE,FALSE)</f>
        <v>1</v>
      </c>
    </row>
    <row r="15" spans="1:21" x14ac:dyDescent="0.3">
      <c r="A15" s="185" t="s">
        <v>927</v>
      </c>
      <c r="B15" s="191">
        <v>7.2347981776299149E-6</v>
      </c>
      <c r="C15" s="191">
        <v>4.727735744984357E-6</v>
      </c>
      <c r="D15" s="191">
        <v>4.6792261679389917E-6</v>
      </c>
      <c r="E15" s="191">
        <v>5.0913700347068918E-6</v>
      </c>
      <c r="F15" s="191">
        <v>1.8477348073754101E-5</v>
      </c>
      <c r="G15" s="191">
        <v>7.6965316072658243E-6</v>
      </c>
      <c r="H15" s="185" t="s">
        <v>928</v>
      </c>
      <c r="J15" s="185" t="s">
        <v>927</v>
      </c>
      <c r="K15" s="192">
        <f>(
VLOOKUP($J15,$A$2:$G$18,HLOOKUP(K$1,$B$1:$G$19,19,FALSE)+1,FALSE)
-
VLOOKUP($J15,'Ergebnisse Basisszenario'!$A$1:$H$21,HLOOKUP(K$1,'Ergebnisse Basisszenario'!$B$1:$G$21,21,FALSE)+1,FALSE)
)
/
VLOOKUP($J15,'Ergebnisse Basisszenario'!$A$1:$H$21,HLOOKUP(K$1,'Ergebnisse Basisszenario'!$B$1:$G$21,21,FALSE)+1,FALSE)</f>
        <v>-2.1381690307448104E-3</v>
      </c>
      <c r="L15" s="192">
        <f>(
VLOOKUP($J15,$A$2:$G$18,HLOOKUP(L$1,$B$1:$G$19,19,FALSE)+1,FALSE)
-
VLOOKUP($J15,'Ergebnisse Basisszenario'!$A$1:$H$21,HLOOKUP(L$1,'Ergebnisse Basisszenario'!$B$1:$G$21,21,FALSE)+1,FALSE)
)
/
VLOOKUP($J15,'Ergebnisse Basisszenario'!$A$1:$H$21,HLOOKUP(L$1,'Ergebnisse Basisszenario'!$B$1:$G$21,21,FALSE)+1,FALSE)</f>
        <v>-2.1812491816421758E-3</v>
      </c>
      <c r="M15" s="192">
        <f>(
VLOOKUP($J15,$A$2:$G$18,HLOOKUP(M$1,$B$1:$G$19,19,FALSE)+1,FALSE)
-
VLOOKUP($J15,'Ergebnisse Basisszenario'!$A$1:$H$21,HLOOKUP(M$1,'Ergebnisse Basisszenario'!$B$1:$G$21,21,FALSE)+1,FALSE)
)
/
VLOOKUP($J15,'Ergebnisse Basisszenario'!$A$1:$H$21,HLOOKUP(M$1,'Ergebnisse Basisszenario'!$B$1:$G$21,21,FALSE)+1,FALSE)</f>
        <v>-2.2038123753910714E-3</v>
      </c>
      <c r="N15" s="192">
        <f>(
VLOOKUP($J15,$A$2:$G$18,HLOOKUP(N$1,$B$1:$G$19,19,FALSE)+1,FALSE)
-
VLOOKUP($J15,'Ergebnisse Basisszenario'!$A$1:$H$21,HLOOKUP(N$1,'Ergebnisse Basisszenario'!$B$1:$G$21,21,FALSE)+1,FALSE)
)
/
VLOOKUP($J15,'Ergebnisse Basisszenario'!$A$1:$H$21,HLOOKUP(N$1,'Ergebnisse Basisszenario'!$B$1:$G$21,21,FALSE)+1,FALSE)</f>
        <v>-2.0257762554306532E-3</v>
      </c>
      <c r="O15" s="192">
        <f>(
VLOOKUP($J15,$A$2:$G$18,HLOOKUP(O$1,$B$1:$G$19,19,FALSE)+1,FALSE)
-
VLOOKUP($J15,'Ergebnisse Basisszenario'!$A$1:$H$21,HLOOKUP(O$1,'Ergebnisse Basisszenario'!$B$1:$G$21,21,FALSE)+1,FALSE)
)
/
VLOOKUP($J15,'Ergebnisse Basisszenario'!$A$1:$H$21,HLOOKUP(O$1,'Ergebnisse Basisszenario'!$B$1:$G$21,21,FALSE)+1,FALSE)</f>
        <v>-8.8482027130164481E-4</v>
      </c>
      <c r="P15" s="192">
        <f>(
VLOOKUP($J15,$A$2:$G$18,HLOOKUP(P$1,$B$1:$G$19,19,FALSE)+1,FALSE)
-
VLOOKUP($J15,'Ergebnisse Basisszenario'!$A$1:$H$21,HLOOKUP(P$1,'Ergebnisse Basisszenario'!$B$1:$G$21,21,FALSE)+1,FALSE)
)
/
VLOOKUP($J15,'Ergebnisse Basisszenario'!$A$1:$H$21,HLOOKUP(P$1,'Ergebnisse Basisszenario'!$B$1:$G$21,21,FALSE)+1,FALSE)</f>
        <v>-2.1215912478035996E-3</v>
      </c>
      <c r="R15" s="185" t="s">
        <v>927</v>
      </c>
      <c r="S15" s="185" t="b">
        <f>IF(
IF((VLOOKUP($R15,$A$2:$G$18,HLOOKUP(S$1,$B$1:$G$19,19,FALSE)+1,FALSE)-VLOOKUP($R15,$A$2:$G$18,HLOOKUP(S$1,$B$1:$G$19,19,FALSE)+2,FALSE))&lt;0,TRUE,FALSE)
=
IF((VLOOKUP($R15,'Ergebnisse Basisszenario'!$A$2:$G$20,HLOOKUP(S$1,'Ergebnisse Basisszenario'!$B$1:$G$21,21,FALSE)+1,FALSE)-VLOOKUP($R15,'Ergebnisse Basisszenario'!$A$2:$G$20,HLOOKUP(S$1,'Ergebnisse Basisszenario'!$B$1:$G$21,21,FALSE)+2,FALSE))&lt;0,TRUE,FALSE),
TRUE,FALSE)</f>
        <v>1</v>
      </c>
      <c r="T15" s="185" t="b">
        <f>IF(
IF((VLOOKUP($R15,$A$2:$G$18,HLOOKUP(T$1,$B$1:$G$19,19,FALSE)+1,FALSE)-VLOOKUP($R15,$A$2:$G$18,HLOOKUP(T$1,$B$1:$G$19,19,FALSE)+2,FALSE))&lt;0,TRUE,FALSE)
=
IF((VLOOKUP($R15,'Ergebnisse Basisszenario'!$A$2:$G$20,HLOOKUP(T$1,'Ergebnisse Basisszenario'!$B$1:$G$21,21,FALSE)+1,FALSE)-VLOOKUP($R15,'Ergebnisse Basisszenario'!$A$2:$G$20,HLOOKUP(T$1,'Ergebnisse Basisszenario'!$B$1:$G$21,21,FALSE)+2,FALSE))&lt;0,TRUE,FALSE),
TRUE,FALSE)</f>
        <v>1</v>
      </c>
      <c r="U15" s="185" t="b">
        <f>IF(
IF((VLOOKUP($R15,$A$2:$G$18,HLOOKUP(U$1,$B$1:$G$19,19,FALSE)+1,FALSE)-VLOOKUP($R15,$A$2:$G$18,HLOOKUP(U$1,$B$1:$G$19,19,FALSE)+2,FALSE))&lt;0,TRUE,FALSE)
=
IF((VLOOKUP($R15,'Ergebnisse Basisszenario'!$A$2:$G$20,HLOOKUP(U$1,'Ergebnisse Basisszenario'!$B$1:$G$21,21,FALSE)+1,FALSE)-VLOOKUP($R15,'Ergebnisse Basisszenario'!$A$2:$G$20,HLOOKUP(U$1,'Ergebnisse Basisszenario'!$B$1:$G$21,21,FALSE)+2,FALSE))&lt;0,TRUE,FALSE),
TRUE,FALSE)</f>
        <v>1</v>
      </c>
    </row>
    <row r="16" spans="1:21" x14ac:dyDescent="0.3">
      <c r="A16" s="185" t="s">
        <v>929</v>
      </c>
      <c r="B16" s="191">
        <v>6.2330652387902402E-6</v>
      </c>
      <c r="C16" s="191">
        <v>9.5878284495768579E-7</v>
      </c>
      <c r="D16" s="191">
        <v>2.065641775400358E-6</v>
      </c>
      <c r="E16" s="191">
        <v>9.3608422719131487E-7</v>
      </c>
      <c r="F16" s="191">
        <v>7.6684436601073315E-6</v>
      </c>
      <c r="G16" s="191">
        <v>1.313441092000245E-6</v>
      </c>
      <c r="H16" s="185" t="s">
        <v>930</v>
      </c>
      <c r="J16" s="185" t="s">
        <v>929</v>
      </c>
      <c r="K16" s="192">
        <f>(
VLOOKUP($J16,$A$2:$G$18,HLOOKUP(K$1,$B$1:$G$19,19,FALSE)+1,FALSE)
-
VLOOKUP($J16,'Ergebnisse Basisszenario'!$A$1:$H$21,HLOOKUP(K$1,'Ergebnisse Basisszenario'!$B$1:$G$21,21,FALSE)+1,FALSE)
)
/
VLOOKUP($J16,'Ergebnisse Basisszenario'!$A$1:$H$21,HLOOKUP(K$1,'Ergebnisse Basisszenario'!$B$1:$G$21,21,FALSE)+1,FALSE)</f>
        <v>-3.3121197056031309E-4</v>
      </c>
      <c r="L16" s="192">
        <f>(
VLOOKUP($J16,$A$2:$G$18,HLOOKUP(L$1,$B$1:$G$19,19,FALSE)+1,FALSE)
-
VLOOKUP($J16,'Ergebnisse Basisszenario'!$A$1:$H$21,HLOOKUP(L$1,'Ergebnisse Basisszenario'!$B$1:$G$21,21,FALSE)+1,FALSE)
)
/
VLOOKUP($J16,'Ergebnisse Basisszenario'!$A$1:$H$21,HLOOKUP(L$1,'Ergebnisse Basisszenario'!$B$1:$G$21,21,FALSE)+1,FALSE)</f>
        <v>-1.4338935141883511E-3</v>
      </c>
      <c r="M16" s="192">
        <f>(
VLOOKUP($J16,$A$2:$G$18,HLOOKUP(M$1,$B$1:$G$19,19,FALSE)+1,FALSE)
-
VLOOKUP($J16,'Ergebnisse Basisszenario'!$A$1:$H$21,HLOOKUP(M$1,'Ergebnisse Basisszenario'!$B$1:$G$21,21,FALSE)+1,FALSE)
)
/
VLOOKUP($J16,'Ergebnisse Basisszenario'!$A$1:$H$21,HLOOKUP(M$1,'Ergebnisse Basisszenario'!$B$1:$G$21,21,FALSE)+1,FALSE)</f>
        <v>-6.6606400071347828E-4</v>
      </c>
      <c r="N16" s="192">
        <f>(
VLOOKUP($J16,$A$2:$G$18,HLOOKUP(N$1,$B$1:$G$19,19,FALSE)+1,FALSE)
-
VLOOKUP($J16,'Ergebnisse Basisszenario'!$A$1:$H$21,HLOOKUP(N$1,'Ergebnisse Basisszenario'!$B$1:$G$21,21,FALSE)+1,FALSE)
)
/
VLOOKUP($J16,'Ergebnisse Basisszenario'!$A$1:$H$21,HLOOKUP(N$1,'Ergebnisse Basisszenario'!$B$1:$G$21,21,FALSE)+1,FALSE)</f>
        <v>-1.4686121862339547E-3</v>
      </c>
      <c r="O16" s="192">
        <f>(
VLOOKUP($J16,$A$2:$G$18,HLOOKUP(O$1,$B$1:$G$19,19,FALSE)+1,FALSE)
-
VLOOKUP($J16,'Ergebnisse Basisszenario'!$A$1:$H$21,HLOOKUP(O$1,'Ergebnisse Basisszenario'!$B$1:$G$21,21,FALSE)+1,FALSE)
)
/
VLOOKUP($J16,'Ergebnisse Basisszenario'!$A$1:$H$21,HLOOKUP(O$1,'Ergebnisse Basisszenario'!$B$1:$G$21,21,FALSE)+1,FALSE)</f>
        <v>-2.8418555379354016E-4</v>
      </c>
      <c r="P16" s="192">
        <f>(
VLOOKUP($J16,$A$2:$G$18,HLOOKUP(P$1,$B$1:$G$19,19,FALSE)+1,FALSE)
-
VLOOKUP($J16,'Ergebnisse Basisszenario'!$A$1:$H$21,HLOOKUP(P$1,'Ergebnisse Basisszenario'!$B$1:$G$21,21,FALSE)+1,FALSE)
)
/
VLOOKUP($J16,'Ergebnisse Basisszenario'!$A$1:$H$21,HLOOKUP(P$1,'Ergebnisse Basisszenario'!$B$1:$G$21,21,FALSE)+1,FALSE)</f>
        <v>-1.6569212900543722E-3</v>
      </c>
      <c r="R16" s="185" t="s">
        <v>929</v>
      </c>
      <c r="S16" s="185" t="b">
        <f>IF(
IF((VLOOKUP($R16,$A$2:$G$18,HLOOKUP(S$1,$B$1:$G$19,19,FALSE)+1,FALSE)-VLOOKUP($R16,$A$2:$G$18,HLOOKUP(S$1,$B$1:$G$19,19,FALSE)+2,FALSE))&lt;0,TRUE,FALSE)
=
IF((VLOOKUP($R16,'Ergebnisse Basisszenario'!$A$2:$G$20,HLOOKUP(S$1,'Ergebnisse Basisszenario'!$B$1:$G$21,21,FALSE)+1,FALSE)-VLOOKUP($R16,'Ergebnisse Basisszenario'!$A$2:$G$20,HLOOKUP(S$1,'Ergebnisse Basisszenario'!$B$1:$G$21,21,FALSE)+2,FALSE))&lt;0,TRUE,FALSE),
TRUE,FALSE)</f>
        <v>1</v>
      </c>
      <c r="T16" s="185" t="b">
        <f>IF(
IF((VLOOKUP($R16,$A$2:$G$18,HLOOKUP(T$1,$B$1:$G$19,19,FALSE)+1,FALSE)-VLOOKUP($R16,$A$2:$G$18,HLOOKUP(T$1,$B$1:$G$19,19,FALSE)+2,FALSE))&lt;0,TRUE,FALSE)
=
IF((VLOOKUP($R16,'Ergebnisse Basisszenario'!$A$2:$G$20,HLOOKUP(T$1,'Ergebnisse Basisszenario'!$B$1:$G$21,21,FALSE)+1,FALSE)-VLOOKUP($R16,'Ergebnisse Basisszenario'!$A$2:$G$20,HLOOKUP(T$1,'Ergebnisse Basisszenario'!$B$1:$G$21,21,FALSE)+2,FALSE))&lt;0,TRUE,FALSE),
TRUE,FALSE)</f>
        <v>1</v>
      </c>
      <c r="U16" s="185" t="b">
        <f>IF(
IF((VLOOKUP($R16,$A$2:$G$18,HLOOKUP(U$1,$B$1:$G$19,19,FALSE)+1,FALSE)-VLOOKUP($R16,$A$2:$G$18,HLOOKUP(U$1,$B$1:$G$19,19,FALSE)+2,FALSE))&lt;0,TRUE,FALSE)
=
IF((VLOOKUP($R16,'Ergebnisse Basisszenario'!$A$2:$G$20,HLOOKUP(U$1,'Ergebnisse Basisszenario'!$B$1:$G$21,21,FALSE)+1,FALSE)-VLOOKUP($R16,'Ergebnisse Basisszenario'!$A$2:$G$20,HLOOKUP(U$1,'Ergebnisse Basisszenario'!$B$1:$G$21,21,FALSE)+2,FALSE))&lt;0,TRUE,FALSE),
TRUE,FALSE)</f>
        <v>1</v>
      </c>
    </row>
    <row r="17" spans="1:21" x14ac:dyDescent="0.3">
      <c r="A17" s="185" t="s">
        <v>931</v>
      </c>
      <c r="B17" s="191">
        <v>0.3539423389071289</v>
      </c>
      <c r="C17" s="191">
        <v>0.10035173398659129</v>
      </c>
      <c r="D17" s="191">
        <v>0.1867898700597129</v>
      </c>
      <c r="E17" s="191">
        <v>0.1084501512923481</v>
      </c>
      <c r="F17" s="191">
        <v>0.56647155243721548</v>
      </c>
      <c r="G17" s="191">
        <v>0.15569333790882431</v>
      </c>
      <c r="H17" s="185" t="s">
        <v>932</v>
      </c>
      <c r="J17" s="185" t="s">
        <v>931</v>
      </c>
      <c r="K17" s="192">
        <f>(
VLOOKUP($J17,$A$2:$G$18,HLOOKUP(K$1,$B$1:$G$19,19,FALSE)+1,FALSE)
-
VLOOKUP($J17,'Ergebnisse Basisszenario'!$A$1:$H$21,HLOOKUP(K$1,'Ergebnisse Basisszenario'!$B$1:$G$21,21,FALSE)+1,FALSE)
)
/
VLOOKUP($J17,'Ergebnisse Basisszenario'!$A$1:$H$21,HLOOKUP(K$1,'Ergebnisse Basisszenario'!$B$1:$G$21,21,FALSE)+1,FALSE)</f>
        <v>1.4995939827872664E-4</v>
      </c>
      <c r="L17" s="192">
        <f>(
VLOOKUP($J17,$A$2:$G$18,HLOOKUP(L$1,$B$1:$G$19,19,FALSE)+1,FALSE)
-
VLOOKUP($J17,'Ergebnisse Basisszenario'!$A$1:$H$21,HLOOKUP(L$1,'Ergebnisse Basisszenario'!$B$1:$G$21,21,FALSE)+1,FALSE)
)
/
VLOOKUP($J17,'Ergebnisse Basisszenario'!$A$1:$H$21,HLOOKUP(L$1,'Ergebnisse Basisszenario'!$B$1:$G$21,21,FALSE)+1,FALSE)</f>
        <v>3.5267779069106327E-4</v>
      </c>
      <c r="M17" s="192">
        <f>(
VLOOKUP($J17,$A$2:$G$18,HLOOKUP(M$1,$B$1:$G$19,19,FALSE)+1,FALSE)
-
VLOOKUP($J17,'Ergebnisse Basisszenario'!$A$1:$H$21,HLOOKUP(M$1,'Ergebnisse Basisszenario'!$B$1:$G$21,21,FALSE)+1,FALSE)
)
/
VLOOKUP($J17,'Ergebnisse Basisszenario'!$A$1:$H$21,HLOOKUP(M$1,'Ergebnisse Basisszenario'!$B$1:$G$21,21,FALSE)+1,FALSE)</f>
        <v>1.8944310355489464E-4</v>
      </c>
      <c r="N17" s="192">
        <f>(
VLOOKUP($J17,$A$2:$G$18,HLOOKUP(N$1,$B$1:$G$19,19,FALSE)+1,FALSE)
-
VLOOKUP($J17,'Ergebnisse Basisszenario'!$A$1:$H$21,HLOOKUP(N$1,'Ergebnisse Basisszenario'!$B$1:$G$21,21,FALSE)+1,FALSE)
)
/
VLOOKUP($J17,'Ergebnisse Basisszenario'!$A$1:$H$21,HLOOKUP(N$1,'Ergebnisse Basisszenario'!$B$1:$G$21,21,FALSE)+1,FALSE)</f>
        <v>3.2633330024177583E-4</v>
      </c>
      <c r="O17" s="192">
        <f>(
VLOOKUP($J17,$A$2:$G$18,HLOOKUP(O$1,$B$1:$G$19,19,FALSE)+1,FALSE)
-
VLOOKUP($J17,'Ergebnisse Basisszenario'!$A$1:$H$21,HLOOKUP(O$1,'Ergebnisse Basisszenario'!$B$1:$G$21,21,FALSE)+1,FALSE)
)
/
VLOOKUP($J17,'Ergebnisse Basisszenario'!$A$1:$H$21,HLOOKUP(O$1,'Ergebnisse Basisszenario'!$B$1:$G$21,21,FALSE)+1,FALSE)</f>
        <v>9.8897890815799163E-5</v>
      </c>
      <c r="P17" s="192">
        <f>(
VLOOKUP($J17,$A$2:$G$18,HLOOKUP(P$1,$B$1:$G$19,19,FALSE)+1,FALSE)
-
VLOOKUP($J17,'Ergebnisse Basisszenario'!$A$1:$H$21,HLOOKUP(P$1,'Ergebnisse Basisszenario'!$B$1:$G$21,21,FALSE)+1,FALSE)
)
/
VLOOKUP($J17,'Ergebnisse Basisszenario'!$A$1:$H$21,HLOOKUP(P$1,'Ergebnisse Basisszenario'!$B$1:$G$21,21,FALSE)+1,FALSE)</f>
        <v>3.599220388195572E-4</v>
      </c>
      <c r="R17" s="185" t="s">
        <v>931</v>
      </c>
      <c r="S17" s="185" t="b">
        <f>IF(
IF((VLOOKUP($R17,$A$2:$G$18,HLOOKUP(S$1,$B$1:$G$19,19,FALSE)+1,FALSE)-VLOOKUP($R17,$A$2:$G$18,HLOOKUP(S$1,$B$1:$G$19,19,FALSE)+2,FALSE))&lt;0,TRUE,FALSE)
=
IF((VLOOKUP($R17,'Ergebnisse Basisszenario'!$A$2:$G$20,HLOOKUP(S$1,'Ergebnisse Basisszenario'!$B$1:$G$21,21,FALSE)+1,FALSE)-VLOOKUP($R17,'Ergebnisse Basisszenario'!$A$2:$G$20,HLOOKUP(S$1,'Ergebnisse Basisszenario'!$B$1:$G$21,21,FALSE)+2,FALSE))&lt;0,TRUE,FALSE),
TRUE,FALSE)</f>
        <v>1</v>
      </c>
      <c r="T17" s="185" t="b">
        <f>IF(
IF((VLOOKUP($R17,$A$2:$G$18,HLOOKUP(T$1,$B$1:$G$19,19,FALSE)+1,FALSE)-VLOOKUP($R17,$A$2:$G$18,HLOOKUP(T$1,$B$1:$G$19,19,FALSE)+2,FALSE))&lt;0,TRUE,FALSE)
=
IF((VLOOKUP($R17,'Ergebnisse Basisszenario'!$A$2:$G$20,HLOOKUP(T$1,'Ergebnisse Basisszenario'!$B$1:$G$21,21,FALSE)+1,FALSE)-VLOOKUP($R17,'Ergebnisse Basisszenario'!$A$2:$G$20,HLOOKUP(T$1,'Ergebnisse Basisszenario'!$B$1:$G$21,21,FALSE)+2,FALSE))&lt;0,TRUE,FALSE),
TRUE,FALSE)</f>
        <v>1</v>
      </c>
      <c r="U17" s="185" t="b">
        <f>IF(
IF((VLOOKUP($R17,$A$2:$G$18,HLOOKUP(U$1,$B$1:$G$19,19,FALSE)+1,FALSE)-VLOOKUP($R17,$A$2:$G$18,HLOOKUP(U$1,$B$1:$G$19,19,FALSE)+2,FALSE))&lt;0,TRUE,FALSE)
=
IF((VLOOKUP($R17,'Ergebnisse Basisszenario'!$A$2:$G$20,HLOOKUP(U$1,'Ergebnisse Basisszenario'!$B$1:$G$21,21,FALSE)+1,FALSE)-VLOOKUP($R17,'Ergebnisse Basisszenario'!$A$2:$G$20,HLOOKUP(U$1,'Ergebnisse Basisszenario'!$B$1:$G$21,21,FALSE)+2,FALSE))&lt;0,TRUE,FALSE),
TRUE,FALSE)</f>
        <v>1</v>
      </c>
    </row>
    <row r="18" spans="1:21" x14ac:dyDescent="0.3">
      <c r="A18" s="185" t="s">
        <v>933</v>
      </c>
      <c r="B18" s="191">
        <v>38.991629147943897</v>
      </c>
      <c r="C18" s="191">
        <v>10.57296126096853</v>
      </c>
      <c r="D18" s="191">
        <v>22.2251110940921</v>
      </c>
      <c r="E18" s="191">
        <v>11.440300478244691</v>
      </c>
      <c r="F18" s="191">
        <v>65.299760264911413</v>
      </c>
      <c r="G18" s="191">
        <v>15.751384741702701</v>
      </c>
      <c r="H18" s="185" t="s">
        <v>934</v>
      </c>
      <c r="J18" s="185" t="s">
        <v>933</v>
      </c>
      <c r="K18" s="192">
        <f>(
VLOOKUP($J18,$A$2:$G$18,HLOOKUP(K$1,$B$1:$G$19,19,FALSE)+1,FALSE)
-
VLOOKUP($J18,'Ergebnisse Basisszenario'!$A$1:$H$21,HLOOKUP(K$1,'Ergebnisse Basisszenario'!$B$1:$G$21,21,FALSE)+1,FALSE)
)
/
VLOOKUP($J18,'Ergebnisse Basisszenario'!$A$1:$H$21,HLOOKUP(K$1,'Ergebnisse Basisszenario'!$B$1:$G$21,21,FALSE)+1,FALSE)</f>
        <v>-2.7793387875786348E-3</v>
      </c>
      <c r="L18" s="192">
        <f>(
VLOOKUP($J18,$A$2:$G$18,HLOOKUP(L$1,$B$1:$G$19,19,FALSE)+1,FALSE)
-
VLOOKUP($J18,'Ergebnisse Basisszenario'!$A$1:$H$21,HLOOKUP(L$1,'Ergebnisse Basisszenario'!$B$1:$G$21,21,FALSE)+1,FALSE)
)
/
VLOOKUP($J18,'Ergebnisse Basisszenario'!$A$1:$H$21,HLOOKUP(L$1,'Ergebnisse Basisszenario'!$B$1:$G$21,21,FALSE)+1,FALSE)</f>
        <v>-6.8056244777641769E-3</v>
      </c>
      <c r="M18" s="192">
        <f>(
VLOOKUP($J18,$A$2:$G$18,HLOOKUP(M$1,$B$1:$G$19,19,FALSE)+1,FALSE)
-
VLOOKUP($J18,'Ergebnisse Basisszenario'!$A$1:$H$21,HLOOKUP(M$1,'Ergebnisse Basisszenario'!$B$1:$G$21,21,FALSE)+1,FALSE)
)
/
VLOOKUP($J18,'Ergebnisse Basisszenario'!$A$1:$H$21,HLOOKUP(M$1,'Ergebnisse Basisszenario'!$B$1:$G$21,21,FALSE)+1,FALSE)</f>
        <v>-3.2491744900088639E-3</v>
      </c>
      <c r="N18" s="192">
        <f>(
VLOOKUP($J18,$A$2:$G$18,HLOOKUP(N$1,$B$1:$G$19,19,FALSE)+1,FALSE)
-
VLOOKUP($J18,'Ergebnisse Basisszenario'!$A$1:$H$21,HLOOKUP(N$1,'Ergebnisse Basisszenario'!$B$1:$G$21,21,FALSE)+1,FALSE)
)
/
VLOOKUP($J18,'Ergebnisse Basisszenario'!$A$1:$H$21,HLOOKUP(N$1,'Ergebnisse Basisszenario'!$B$1:$G$21,21,FALSE)+1,FALSE)</f>
        <v>-6.2929072339985136E-3</v>
      </c>
      <c r="O18" s="192">
        <f>(
VLOOKUP($J18,$A$2:$G$18,HLOOKUP(O$1,$B$1:$G$19,19,FALSE)+1,FALSE)
-
VLOOKUP($J18,'Ergebnisse Basisszenario'!$A$1:$H$21,HLOOKUP(O$1,'Ergebnisse Basisszenario'!$B$1:$G$21,21,FALSE)+1,FALSE)
)
/
VLOOKUP($J18,'Ergebnisse Basisszenario'!$A$1:$H$21,HLOOKUP(O$1,'Ergebnisse Basisszenario'!$B$1:$G$21,21,FALSE)+1,FALSE)</f>
        <v>-1.7535932788620913E-3</v>
      </c>
      <c r="P18" s="192">
        <f>(
VLOOKUP($J18,$A$2:$G$18,HLOOKUP(P$1,$B$1:$G$19,19,FALSE)+1,FALSE)
-
VLOOKUP($J18,'Ergebnisse Basisszenario'!$A$1:$H$21,HLOOKUP(P$1,'Ergebnisse Basisszenario'!$B$1:$G$21,21,FALSE)+1,FALSE)
)
/
VLOOKUP($J18,'Ergebnisse Basisszenario'!$A$1:$H$21,HLOOKUP(P$1,'Ergebnisse Basisszenario'!$B$1:$G$21,21,FALSE)+1,FALSE)</f>
        <v>-7.2299059853801794E-3</v>
      </c>
      <c r="R18" s="185" t="s">
        <v>933</v>
      </c>
      <c r="S18" s="185" t="b">
        <f>IF(
IF((VLOOKUP($R18,$A$2:$G$18,HLOOKUP(S$1,$B$1:$G$19,19,FALSE)+1,FALSE)-VLOOKUP($R18,$A$2:$G$18,HLOOKUP(S$1,$B$1:$G$19,19,FALSE)+2,FALSE))&lt;0,TRUE,FALSE)
=
IF((VLOOKUP($R18,'Ergebnisse Basisszenario'!$A$2:$G$20,HLOOKUP(S$1,'Ergebnisse Basisszenario'!$B$1:$G$21,21,FALSE)+1,FALSE)-VLOOKUP($R18,'Ergebnisse Basisszenario'!$A$2:$G$20,HLOOKUP(S$1,'Ergebnisse Basisszenario'!$B$1:$G$21,21,FALSE)+2,FALSE))&lt;0,TRUE,FALSE),
TRUE,FALSE)</f>
        <v>1</v>
      </c>
      <c r="T18" s="185" t="b">
        <f>IF(
IF((VLOOKUP($R18,$A$2:$G$18,HLOOKUP(T$1,$B$1:$G$19,19,FALSE)+1,FALSE)-VLOOKUP($R18,$A$2:$G$18,HLOOKUP(T$1,$B$1:$G$19,19,FALSE)+2,FALSE))&lt;0,TRUE,FALSE)
=
IF((VLOOKUP($R18,'Ergebnisse Basisszenario'!$A$2:$G$20,HLOOKUP(T$1,'Ergebnisse Basisszenario'!$B$1:$G$21,21,FALSE)+1,FALSE)-VLOOKUP($R18,'Ergebnisse Basisszenario'!$A$2:$G$20,HLOOKUP(T$1,'Ergebnisse Basisszenario'!$B$1:$G$21,21,FALSE)+2,FALSE))&lt;0,TRUE,FALSE),
TRUE,FALSE)</f>
        <v>1</v>
      </c>
      <c r="U18" s="185" t="b">
        <f>IF(
IF((VLOOKUP($R18,$A$2:$G$18,HLOOKUP(U$1,$B$1:$G$19,19,FALSE)+1,FALSE)-VLOOKUP($R18,$A$2:$G$18,HLOOKUP(U$1,$B$1:$G$19,19,FALSE)+2,FALSE))&lt;0,TRUE,FALSE)
=
IF((VLOOKUP($R18,'Ergebnisse Basisszenario'!$A$2:$G$20,HLOOKUP(U$1,'Ergebnisse Basisszenario'!$B$1:$G$21,21,FALSE)+1,FALSE)-VLOOKUP($R18,'Ergebnisse Basisszenario'!$A$2:$G$20,HLOOKUP(U$1,'Ergebnisse Basisszenario'!$B$1:$G$21,21,FALSE)+2,FALSE))&lt;0,TRUE,FALSE),
TRUE,FALSE)</f>
        <v>1</v>
      </c>
    </row>
    <row r="19" spans="1:21" x14ac:dyDescent="0.3">
      <c r="B19" s="185">
        <v>1</v>
      </c>
      <c r="C19" s="185">
        <v>2</v>
      </c>
      <c r="D19" s="185">
        <v>3</v>
      </c>
      <c r="E19" s="185">
        <v>4</v>
      </c>
      <c r="F19" s="185">
        <v>5</v>
      </c>
      <c r="G19" s="185">
        <v>6</v>
      </c>
    </row>
    <row r="21" spans="1:21" x14ac:dyDescent="0.3">
      <c r="A21" s="186" t="s">
        <v>938</v>
      </c>
      <c r="B21" s="247" cm="1">
        <f t="array" ref="B21">SUMPRODUCT((B2:B18&lt;C2:C18)*1)</f>
        <v>0</v>
      </c>
      <c r="C21" s="247"/>
      <c r="D21" s="247" cm="1">
        <f t="array" ref="D21">SUMPRODUCT((D2:D18&lt;E2:E18)*1)</f>
        <v>2</v>
      </c>
      <c r="E21" s="247"/>
      <c r="F21" s="247" cm="1">
        <f t="array" ref="F21">SUMPRODUCT((F2:F18&lt;G2:G18)*1)</f>
        <v>0</v>
      </c>
      <c r="G21" s="247"/>
    </row>
    <row r="22" spans="1:21" x14ac:dyDescent="0.3">
      <c r="A22" s="208" t="s">
        <v>1000</v>
      </c>
    </row>
    <row r="23" spans="1:21" x14ac:dyDescent="0.3">
      <c r="A23" s="207" t="s">
        <v>903</v>
      </c>
    </row>
    <row r="24" spans="1:21" x14ac:dyDescent="0.3">
      <c r="A24" s="186"/>
      <c r="B24" s="247" t="s">
        <v>898</v>
      </c>
      <c r="C24" s="247"/>
      <c r="D24" s="247" t="s">
        <v>899</v>
      </c>
      <c r="E24" s="247"/>
      <c r="F24" s="247" t="s">
        <v>900</v>
      </c>
      <c r="G24" s="247"/>
    </row>
    <row r="25" spans="1:21" x14ac:dyDescent="0.3">
      <c r="B25" s="185" t="s">
        <v>660</v>
      </c>
      <c r="C25" s="185" t="s">
        <v>669</v>
      </c>
      <c r="D25" s="185" t="s">
        <v>660</v>
      </c>
      <c r="E25" s="185" t="s">
        <v>669</v>
      </c>
      <c r="F25" s="185" t="s">
        <v>660</v>
      </c>
      <c r="G25" s="185" t="s">
        <v>669</v>
      </c>
    </row>
    <row r="26" spans="1:21" x14ac:dyDescent="0.3">
      <c r="A26" s="185" t="s">
        <v>939</v>
      </c>
      <c r="B26" s="187">
        <f>VLOOKUP($A$23,$A$2:$G$18,2,FALSE)</f>
        <v>94.381889347261051</v>
      </c>
      <c r="C26" s="187">
        <f>VLOOKUP($A$23,$A$2:$G$18,3,FALSE)</f>
        <v>51.420966150912022</v>
      </c>
      <c r="D26" s="187">
        <f>VLOOKUP($A$23,$A$2:$G$18,4,FALSE)</f>
        <v>100.929068408788</v>
      </c>
      <c r="E26" s="187">
        <f>VLOOKUP($A$23,$A$2:$G$18,5,FALSE)</f>
        <v>60.591687715393718</v>
      </c>
      <c r="F26" s="187">
        <f>VLOOKUP($A$23,$A$2:$G$18,6,FALSE)</f>
        <v>218.39977944050369</v>
      </c>
      <c r="G26" s="187">
        <f>VLOOKUP($A$23,$A$2:$G$18,7,FALSE)</f>
        <v>86.70188972959312</v>
      </c>
    </row>
    <row r="27" spans="1:21" x14ac:dyDescent="0.3">
      <c r="A27" s="185" t="s">
        <v>940</v>
      </c>
      <c r="B27" s="187">
        <f>VLOOKUP($A$23,'Ergebnisse Basisszenario'!$A$2:$G$20,2,FALSE)</f>
        <v>94.428134249607126</v>
      </c>
      <c r="C27" s="187">
        <f>VLOOKUP($A$23,'Ergebnisse Basisszenario'!$A$2:$G$20,3,FALSE)</f>
        <v>51.451796087851058</v>
      </c>
      <c r="D27" s="187">
        <f>VLOOKUP($A$23,'Ergebnisse Basisszenario'!$A$2:$G$20,4,FALSE)</f>
        <v>100.959898345727</v>
      </c>
      <c r="E27" s="187">
        <f>VLOOKUP($A$23,'Ergebnisse Basisszenario'!$A$2:$G$20,5,FALSE)</f>
        <v>60.622517652332903</v>
      </c>
      <c r="F27" s="187">
        <f>VLOOKUP($A$23,'Ergebnisse Basisszenario'!$A$2:$G$20,6,FALSE)</f>
        <v>218.4485935047714</v>
      </c>
      <c r="G27" s="187">
        <f>VLOOKUP($A$23,'Ergebnisse Basisszenario'!$A$2:$G$20,7,FALSE)</f>
        <v>86.750703793861035</v>
      </c>
    </row>
    <row r="28" spans="1:21" x14ac:dyDescent="0.3">
      <c r="A28" s="185" t="s">
        <v>941</v>
      </c>
      <c r="B28" s="185">
        <f>B26-B27</f>
        <v>-4.6244902346074923E-2</v>
      </c>
      <c r="C28" s="185">
        <f t="shared" ref="C28:G28" si="0">C26-C27</f>
        <v>-3.0829936939035463E-2</v>
      </c>
      <c r="D28" s="185">
        <f t="shared" si="0"/>
        <v>-3.0829936938999936E-2</v>
      </c>
      <c r="E28" s="185">
        <f t="shared" si="0"/>
        <v>-3.0829936939184677E-2</v>
      </c>
      <c r="F28" s="185">
        <f t="shared" si="0"/>
        <v>-4.8814064267702406E-2</v>
      </c>
      <c r="G28" s="185">
        <f t="shared" si="0"/>
        <v>-4.8814064267915569E-2</v>
      </c>
    </row>
    <row r="29" spans="1:21" x14ac:dyDescent="0.3">
      <c r="A29" s="185" t="s">
        <v>942</v>
      </c>
      <c r="B29" s="185">
        <f>IF(B28&gt;0,B28,0)</f>
        <v>0</v>
      </c>
      <c r="C29" s="185">
        <f t="shared" ref="C29:G29" si="1">IF(C28&gt;0,C28,0)</f>
        <v>0</v>
      </c>
      <c r="D29" s="185">
        <f t="shared" si="1"/>
        <v>0</v>
      </c>
      <c r="E29" s="185">
        <f t="shared" si="1"/>
        <v>0</v>
      </c>
      <c r="F29" s="185">
        <f t="shared" si="1"/>
        <v>0</v>
      </c>
      <c r="G29" s="185">
        <f t="shared" si="1"/>
        <v>0</v>
      </c>
    </row>
    <row r="30" spans="1:21" x14ac:dyDescent="0.3">
      <c r="A30" s="185" t="s">
        <v>943</v>
      </c>
      <c r="B30" s="185">
        <f>IF(B28&lt;0,B28,0)*(-1)</f>
        <v>4.6244902346074923E-2</v>
      </c>
      <c r="C30" s="185">
        <f t="shared" ref="C30:G30" si="2">IF(C28&lt;0,C28,0)*(-1)</f>
        <v>3.0829936939035463E-2</v>
      </c>
      <c r="D30" s="185">
        <f t="shared" si="2"/>
        <v>3.0829936938999936E-2</v>
      </c>
      <c r="E30" s="185">
        <f t="shared" si="2"/>
        <v>3.0829936939184677E-2</v>
      </c>
      <c r="F30" s="185">
        <f t="shared" si="2"/>
        <v>4.8814064267702406E-2</v>
      </c>
      <c r="G30" s="185">
        <f t="shared" si="2"/>
        <v>4.8814064267915569E-2</v>
      </c>
    </row>
    <row r="31" spans="1:21" x14ac:dyDescent="0.3">
      <c r="A31" s="185" t="s">
        <v>944</v>
      </c>
      <c r="B31" s="185">
        <f>IF(B26&lt;B27,B26,B27)</f>
        <v>94.381889347261051</v>
      </c>
      <c r="C31" s="185">
        <f t="shared" ref="C31:G31" si="3">IF(C26&lt;C27,C26,C27)</f>
        <v>51.420966150912022</v>
      </c>
      <c r="D31" s="185">
        <f t="shared" si="3"/>
        <v>100.929068408788</v>
      </c>
      <c r="E31" s="185">
        <f t="shared" si="3"/>
        <v>60.591687715393718</v>
      </c>
      <c r="F31" s="185">
        <f t="shared" si="3"/>
        <v>218.39977944050369</v>
      </c>
      <c r="G31" s="185">
        <f t="shared" si="3"/>
        <v>86.70188972959312</v>
      </c>
    </row>
    <row r="32" spans="1:21" x14ac:dyDescent="0.3">
      <c r="A32" s="185" t="s">
        <v>945</v>
      </c>
      <c r="B32" s="192">
        <f>B28/B27</f>
        <v>-4.8973648281383183E-4</v>
      </c>
      <c r="C32" s="192">
        <f t="shared" ref="C32:G32" si="4">C28/C27</f>
        <v>-5.9920040276912928E-4</v>
      </c>
      <c r="D32" s="192">
        <f t="shared" si="4"/>
        <v>-3.0536814561189356E-4</v>
      </c>
      <c r="E32" s="192">
        <f t="shared" si="4"/>
        <v>-5.0855586559424694E-4</v>
      </c>
      <c r="F32" s="192">
        <f t="shared" si="4"/>
        <v>-2.2345790139699937E-4</v>
      </c>
      <c r="G32" s="192">
        <f t="shared" si="4"/>
        <v>-5.6269358210520851E-4</v>
      </c>
    </row>
    <row r="33" spans="1:7" x14ac:dyDescent="0.3">
      <c r="A33" s="185" t="s">
        <v>946</v>
      </c>
      <c r="B33" s="185">
        <f>SUM(B29:B31)+SUM(B29:B31)*0.05</f>
        <v>99.149540962087485</v>
      </c>
      <c r="C33" s="185">
        <f t="shared" ref="C33:G33" si="5">SUM(C29:C31)+SUM(C29:C31)*0.05</f>
        <v>54.024385892243615</v>
      </c>
      <c r="D33" s="185">
        <f t="shared" si="5"/>
        <v>106.00789326301334</v>
      </c>
      <c r="E33" s="185">
        <f t="shared" si="5"/>
        <v>63.653643534949545</v>
      </c>
      <c r="F33" s="185">
        <f t="shared" si="5"/>
        <v>229.37102318000996</v>
      </c>
      <c r="G33" s="185">
        <f t="shared" si="5"/>
        <v>91.088238983554092</v>
      </c>
    </row>
  </sheetData>
  <mergeCells count="6">
    <mergeCell ref="B21:C21"/>
    <mergeCell ref="D21:E21"/>
    <mergeCell ref="F21:G21"/>
    <mergeCell ref="B24:C24"/>
    <mergeCell ref="D24:E24"/>
    <mergeCell ref="F24:G24"/>
  </mergeCells>
  <conditionalFormatting sqref="B2:C2">
    <cfRule type="colorScale" priority="53">
      <colorScale>
        <cfvo type="min"/>
        <cfvo type="percentile" val="50"/>
        <cfvo type="max"/>
        <color rgb="FF63BE7B"/>
        <color rgb="FFFFEB84"/>
        <color rgb="FFF8696B"/>
      </colorScale>
    </cfRule>
  </conditionalFormatting>
  <conditionalFormatting sqref="B3:C3">
    <cfRule type="colorScale" priority="52">
      <colorScale>
        <cfvo type="min"/>
        <cfvo type="percentile" val="50"/>
        <cfvo type="max"/>
        <color rgb="FF63BE7B"/>
        <color rgb="FFFFEB84"/>
        <color rgb="FFF8696B"/>
      </colorScale>
    </cfRule>
  </conditionalFormatting>
  <conditionalFormatting sqref="B4:C4">
    <cfRule type="colorScale" priority="51">
      <colorScale>
        <cfvo type="min"/>
        <cfvo type="percentile" val="50"/>
        <cfvo type="max"/>
        <color rgb="FF63BE7B"/>
        <color rgb="FFFFEB84"/>
        <color rgb="FFF8696B"/>
      </colorScale>
    </cfRule>
  </conditionalFormatting>
  <conditionalFormatting sqref="B5:C5">
    <cfRule type="colorScale" priority="50">
      <colorScale>
        <cfvo type="min"/>
        <cfvo type="percentile" val="50"/>
        <cfvo type="max"/>
        <color rgb="FF63BE7B"/>
        <color rgb="FFFFEB84"/>
        <color rgb="FFF8696B"/>
      </colorScale>
    </cfRule>
  </conditionalFormatting>
  <conditionalFormatting sqref="B6:C6">
    <cfRule type="colorScale" priority="49">
      <colorScale>
        <cfvo type="min"/>
        <cfvo type="percentile" val="50"/>
        <cfvo type="max"/>
        <color rgb="FF63BE7B"/>
        <color rgb="FFFFEB84"/>
        <color rgb="FFF8696B"/>
      </colorScale>
    </cfRule>
  </conditionalFormatting>
  <conditionalFormatting sqref="B7:C7">
    <cfRule type="colorScale" priority="48">
      <colorScale>
        <cfvo type="min"/>
        <cfvo type="percentile" val="50"/>
        <cfvo type="max"/>
        <color rgb="FF63BE7B"/>
        <color rgb="FFFFEB84"/>
        <color rgb="FFF8696B"/>
      </colorScale>
    </cfRule>
  </conditionalFormatting>
  <conditionalFormatting sqref="B8:C8">
    <cfRule type="colorScale" priority="47">
      <colorScale>
        <cfvo type="min"/>
        <cfvo type="percentile" val="50"/>
        <cfvo type="max"/>
        <color rgb="FF63BE7B"/>
        <color rgb="FFFFEB84"/>
        <color rgb="FFF8696B"/>
      </colorScale>
    </cfRule>
  </conditionalFormatting>
  <conditionalFormatting sqref="B9:C9">
    <cfRule type="colorScale" priority="46">
      <colorScale>
        <cfvo type="min"/>
        <cfvo type="percentile" val="50"/>
        <cfvo type="max"/>
        <color rgb="FF63BE7B"/>
        <color rgb="FFFFEB84"/>
        <color rgb="FFF8696B"/>
      </colorScale>
    </cfRule>
  </conditionalFormatting>
  <conditionalFormatting sqref="B10:C10">
    <cfRule type="colorScale" priority="45">
      <colorScale>
        <cfvo type="min"/>
        <cfvo type="percentile" val="50"/>
        <cfvo type="max"/>
        <color rgb="FF63BE7B"/>
        <color rgb="FFFFEB84"/>
        <color rgb="FFF8696B"/>
      </colorScale>
    </cfRule>
  </conditionalFormatting>
  <conditionalFormatting sqref="B11:C11">
    <cfRule type="colorScale" priority="44">
      <colorScale>
        <cfvo type="min"/>
        <cfvo type="percentile" val="50"/>
        <cfvo type="max"/>
        <color rgb="FF63BE7B"/>
        <color rgb="FFFFEB84"/>
        <color rgb="FFF8696B"/>
      </colorScale>
    </cfRule>
  </conditionalFormatting>
  <conditionalFormatting sqref="B12:C12">
    <cfRule type="colorScale" priority="43">
      <colorScale>
        <cfvo type="min"/>
        <cfvo type="percentile" val="50"/>
        <cfvo type="max"/>
        <color rgb="FF63BE7B"/>
        <color rgb="FFFFEB84"/>
        <color rgb="FFF8696B"/>
      </colorScale>
    </cfRule>
  </conditionalFormatting>
  <conditionalFormatting sqref="B13:C13">
    <cfRule type="colorScale" priority="42">
      <colorScale>
        <cfvo type="min"/>
        <cfvo type="percentile" val="50"/>
        <cfvo type="max"/>
        <color rgb="FF63BE7B"/>
        <color rgb="FFFFEB84"/>
        <color rgb="FFF8696B"/>
      </colorScale>
    </cfRule>
  </conditionalFormatting>
  <conditionalFormatting sqref="B14:C14">
    <cfRule type="colorScale" priority="41">
      <colorScale>
        <cfvo type="min"/>
        <cfvo type="percentile" val="50"/>
        <cfvo type="max"/>
        <color rgb="FF63BE7B"/>
        <color rgb="FFFFEB84"/>
        <color rgb="FFF8696B"/>
      </colorScale>
    </cfRule>
  </conditionalFormatting>
  <conditionalFormatting sqref="B15:C15">
    <cfRule type="colorScale" priority="40">
      <colorScale>
        <cfvo type="min"/>
        <cfvo type="percentile" val="50"/>
        <cfvo type="max"/>
        <color rgb="FF63BE7B"/>
        <color rgb="FFFFEB84"/>
        <color rgb="FFF8696B"/>
      </colorScale>
    </cfRule>
  </conditionalFormatting>
  <conditionalFormatting sqref="B16:C16">
    <cfRule type="colorScale" priority="39">
      <colorScale>
        <cfvo type="min"/>
        <cfvo type="percentile" val="50"/>
        <cfvo type="max"/>
        <color rgb="FF63BE7B"/>
        <color rgb="FFFFEB84"/>
        <color rgb="FFF8696B"/>
      </colorScale>
    </cfRule>
  </conditionalFormatting>
  <conditionalFormatting sqref="B17:C17">
    <cfRule type="colorScale" priority="38">
      <colorScale>
        <cfvo type="min"/>
        <cfvo type="percentile" val="50"/>
        <cfvo type="max"/>
        <color rgb="FF63BE7B"/>
        <color rgb="FFFFEB84"/>
        <color rgb="FFF8696B"/>
      </colorScale>
    </cfRule>
  </conditionalFormatting>
  <conditionalFormatting sqref="B18:C18">
    <cfRule type="colorScale" priority="37">
      <colorScale>
        <cfvo type="min"/>
        <cfvo type="percentile" val="50"/>
        <cfvo type="max"/>
        <color rgb="FF63BE7B"/>
        <color rgb="FFFFEB84"/>
        <color rgb="FFF8696B"/>
      </colorScale>
    </cfRule>
  </conditionalFormatting>
  <conditionalFormatting sqref="D2:E2">
    <cfRule type="colorScale" priority="36">
      <colorScale>
        <cfvo type="min"/>
        <cfvo type="percentile" val="50"/>
        <cfvo type="max"/>
        <color rgb="FF63BE7B"/>
        <color rgb="FFFFEB84"/>
        <color rgb="FFF8696B"/>
      </colorScale>
    </cfRule>
  </conditionalFormatting>
  <conditionalFormatting sqref="D3:E3">
    <cfRule type="colorScale" priority="35">
      <colorScale>
        <cfvo type="min"/>
        <cfvo type="percentile" val="50"/>
        <cfvo type="max"/>
        <color rgb="FF63BE7B"/>
        <color rgb="FFFFEB84"/>
        <color rgb="FFF8696B"/>
      </colorScale>
    </cfRule>
  </conditionalFormatting>
  <conditionalFormatting sqref="D4:E4">
    <cfRule type="colorScale" priority="34">
      <colorScale>
        <cfvo type="min"/>
        <cfvo type="percentile" val="50"/>
        <cfvo type="max"/>
        <color rgb="FF63BE7B"/>
        <color rgb="FFFFEB84"/>
        <color rgb="FFF8696B"/>
      </colorScale>
    </cfRule>
  </conditionalFormatting>
  <conditionalFormatting sqref="D5:E5">
    <cfRule type="colorScale" priority="33">
      <colorScale>
        <cfvo type="min"/>
        <cfvo type="percentile" val="50"/>
        <cfvo type="max"/>
        <color rgb="FF63BE7B"/>
        <color rgb="FFFFEB84"/>
        <color rgb="FFF8696B"/>
      </colorScale>
    </cfRule>
  </conditionalFormatting>
  <conditionalFormatting sqref="D6:E6">
    <cfRule type="colorScale" priority="32">
      <colorScale>
        <cfvo type="min"/>
        <cfvo type="percentile" val="50"/>
        <cfvo type="max"/>
        <color rgb="FF63BE7B"/>
        <color rgb="FFFFEB84"/>
        <color rgb="FFF8696B"/>
      </colorScale>
    </cfRule>
  </conditionalFormatting>
  <conditionalFormatting sqref="D7:E7">
    <cfRule type="colorScale" priority="31">
      <colorScale>
        <cfvo type="min"/>
        <cfvo type="percentile" val="50"/>
        <cfvo type="max"/>
        <color rgb="FF63BE7B"/>
        <color rgb="FFFFEB84"/>
        <color rgb="FFF8696B"/>
      </colorScale>
    </cfRule>
  </conditionalFormatting>
  <conditionalFormatting sqref="D8:E8">
    <cfRule type="colorScale" priority="30">
      <colorScale>
        <cfvo type="min"/>
        <cfvo type="percentile" val="50"/>
        <cfvo type="max"/>
        <color rgb="FF63BE7B"/>
        <color rgb="FFFFEB84"/>
        <color rgb="FFF8696B"/>
      </colorScale>
    </cfRule>
  </conditionalFormatting>
  <conditionalFormatting sqref="D9:E9">
    <cfRule type="colorScale" priority="29">
      <colorScale>
        <cfvo type="min"/>
        <cfvo type="percentile" val="50"/>
        <cfvo type="max"/>
        <color rgb="FF63BE7B"/>
        <color rgb="FFFFEB84"/>
        <color rgb="FFF8696B"/>
      </colorScale>
    </cfRule>
  </conditionalFormatting>
  <conditionalFormatting sqref="D10:E10">
    <cfRule type="colorScale" priority="28">
      <colorScale>
        <cfvo type="min"/>
        <cfvo type="percentile" val="50"/>
        <cfvo type="max"/>
        <color rgb="FF63BE7B"/>
        <color rgb="FFFFEB84"/>
        <color rgb="FFF8696B"/>
      </colorScale>
    </cfRule>
  </conditionalFormatting>
  <conditionalFormatting sqref="D11:E11">
    <cfRule type="colorScale" priority="27">
      <colorScale>
        <cfvo type="min"/>
        <cfvo type="percentile" val="50"/>
        <cfvo type="max"/>
        <color rgb="FF63BE7B"/>
        <color rgb="FFFFEB84"/>
        <color rgb="FFF8696B"/>
      </colorScale>
    </cfRule>
  </conditionalFormatting>
  <conditionalFormatting sqref="D12:E12">
    <cfRule type="colorScale" priority="26">
      <colorScale>
        <cfvo type="min"/>
        <cfvo type="percentile" val="50"/>
        <cfvo type="max"/>
        <color rgb="FF63BE7B"/>
        <color rgb="FFFFEB84"/>
        <color rgb="FFF8696B"/>
      </colorScale>
    </cfRule>
  </conditionalFormatting>
  <conditionalFormatting sqref="D13:E13">
    <cfRule type="colorScale" priority="25">
      <colorScale>
        <cfvo type="min"/>
        <cfvo type="percentile" val="50"/>
        <cfvo type="max"/>
        <color rgb="FF63BE7B"/>
        <color rgb="FFFFEB84"/>
        <color rgb="FFF8696B"/>
      </colorScale>
    </cfRule>
  </conditionalFormatting>
  <conditionalFormatting sqref="D14:E14">
    <cfRule type="colorScale" priority="24">
      <colorScale>
        <cfvo type="min"/>
        <cfvo type="percentile" val="50"/>
        <cfvo type="max"/>
        <color rgb="FF63BE7B"/>
        <color rgb="FFFFEB84"/>
        <color rgb="FFF8696B"/>
      </colorScale>
    </cfRule>
  </conditionalFormatting>
  <conditionalFormatting sqref="D15:E15">
    <cfRule type="colorScale" priority="23">
      <colorScale>
        <cfvo type="min"/>
        <cfvo type="percentile" val="50"/>
        <cfvo type="max"/>
        <color rgb="FF63BE7B"/>
        <color rgb="FFFFEB84"/>
        <color rgb="FFF8696B"/>
      </colorScale>
    </cfRule>
  </conditionalFormatting>
  <conditionalFormatting sqref="D16:E16">
    <cfRule type="colorScale" priority="22">
      <colorScale>
        <cfvo type="min"/>
        <cfvo type="percentile" val="50"/>
        <cfvo type="max"/>
        <color rgb="FF63BE7B"/>
        <color rgb="FFFFEB84"/>
        <color rgb="FFF8696B"/>
      </colorScale>
    </cfRule>
  </conditionalFormatting>
  <conditionalFormatting sqref="D17:E17">
    <cfRule type="colorScale" priority="21">
      <colorScale>
        <cfvo type="min"/>
        <cfvo type="percentile" val="50"/>
        <cfvo type="max"/>
        <color rgb="FF63BE7B"/>
        <color rgb="FFFFEB84"/>
        <color rgb="FFF8696B"/>
      </colorScale>
    </cfRule>
  </conditionalFormatting>
  <conditionalFormatting sqref="D18:E18">
    <cfRule type="colorScale" priority="20">
      <colorScale>
        <cfvo type="min"/>
        <cfvo type="percentile" val="50"/>
        <cfvo type="max"/>
        <color rgb="FF63BE7B"/>
        <color rgb="FFFFEB84"/>
        <color rgb="FFF8696B"/>
      </colorScale>
    </cfRule>
  </conditionalFormatting>
  <conditionalFormatting sqref="F2:G2">
    <cfRule type="colorScale" priority="19">
      <colorScale>
        <cfvo type="min"/>
        <cfvo type="percentile" val="50"/>
        <cfvo type="max"/>
        <color rgb="FF63BE7B"/>
        <color rgb="FFFFEB84"/>
        <color rgb="FFF8696B"/>
      </colorScale>
    </cfRule>
  </conditionalFormatting>
  <conditionalFormatting sqref="F3:G3">
    <cfRule type="colorScale" priority="18">
      <colorScale>
        <cfvo type="min"/>
        <cfvo type="percentile" val="50"/>
        <cfvo type="max"/>
        <color rgb="FF63BE7B"/>
        <color rgb="FFFFEB84"/>
        <color rgb="FFF8696B"/>
      </colorScale>
    </cfRule>
  </conditionalFormatting>
  <conditionalFormatting sqref="F4:G4">
    <cfRule type="colorScale" priority="17">
      <colorScale>
        <cfvo type="min"/>
        <cfvo type="percentile" val="50"/>
        <cfvo type="max"/>
        <color rgb="FF63BE7B"/>
        <color rgb="FFFFEB84"/>
        <color rgb="FFF8696B"/>
      </colorScale>
    </cfRule>
  </conditionalFormatting>
  <conditionalFormatting sqref="F5:G5">
    <cfRule type="colorScale" priority="16">
      <colorScale>
        <cfvo type="min"/>
        <cfvo type="percentile" val="50"/>
        <cfvo type="max"/>
        <color rgb="FF63BE7B"/>
        <color rgb="FFFFEB84"/>
        <color rgb="FFF8696B"/>
      </colorScale>
    </cfRule>
  </conditionalFormatting>
  <conditionalFormatting sqref="F6:G6">
    <cfRule type="colorScale" priority="15">
      <colorScale>
        <cfvo type="min"/>
        <cfvo type="percentile" val="50"/>
        <cfvo type="max"/>
        <color rgb="FF63BE7B"/>
        <color rgb="FFFFEB84"/>
        <color rgb="FFF8696B"/>
      </colorScale>
    </cfRule>
  </conditionalFormatting>
  <conditionalFormatting sqref="F7:G7">
    <cfRule type="colorScale" priority="14">
      <colorScale>
        <cfvo type="min"/>
        <cfvo type="percentile" val="50"/>
        <cfvo type="max"/>
        <color rgb="FF63BE7B"/>
        <color rgb="FFFFEB84"/>
        <color rgb="FFF8696B"/>
      </colorScale>
    </cfRule>
  </conditionalFormatting>
  <conditionalFormatting sqref="F8:G8">
    <cfRule type="colorScale" priority="13">
      <colorScale>
        <cfvo type="min"/>
        <cfvo type="percentile" val="50"/>
        <cfvo type="max"/>
        <color rgb="FF63BE7B"/>
        <color rgb="FFFFEB84"/>
        <color rgb="FFF8696B"/>
      </colorScale>
    </cfRule>
  </conditionalFormatting>
  <conditionalFormatting sqref="F9:G9">
    <cfRule type="colorScale" priority="12">
      <colorScale>
        <cfvo type="min"/>
        <cfvo type="percentile" val="50"/>
        <cfvo type="max"/>
        <color rgb="FF63BE7B"/>
        <color rgb="FFFFEB84"/>
        <color rgb="FFF8696B"/>
      </colorScale>
    </cfRule>
  </conditionalFormatting>
  <conditionalFormatting sqref="F10:G10">
    <cfRule type="colorScale" priority="11">
      <colorScale>
        <cfvo type="min"/>
        <cfvo type="percentile" val="50"/>
        <cfvo type="max"/>
        <color rgb="FF63BE7B"/>
        <color rgb="FFFFEB84"/>
        <color rgb="FFF8696B"/>
      </colorScale>
    </cfRule>
  </conditionalFormatting>
  <conditionalFormatting sqref="F11:G11">
    <cfRule type="colorScale" priority="10">
      <colorScale>
        <cfvo type="min"/>
        <cfvo type="percentile" val="50"/>
        <cfvo type="max"/>
        <color rgb="FF63BE7B"/>
        <color rgb="FFFFEB84"/>
        <color rgb="FFF8696B"/>
      </colorScale>
    </cfRule>
  </conditionalFormatting>
  <conditionalFormatting sqref="F12:G12">
    <cfRule type="colorScale" priority="9">
      <colorScale>
        <cfvo type="min"/>
        <cfvo type="percentile" val="50"/>
        <cfvo type="max"/>
        <color rgb="FF63BE7B"/>
        <color rgb="FFFFEB84"/>
        <color rgb="FFF8696B"/>
      </colorScale>
    </cfRule>
  </conditionalFormatting>
  <conditionalFormatting sqref="F13:G13">
    <cfRule type="colorScale" priority="8">
      <colorScale>
        <cfvo type="min"/>
        <cfvo type="percentile" val="50"/>
        <cfvo type="max"/>
        <color rgb="FF63BE7B"/>
        <color rgb="FFFFEB84"/>
        <color rgb="FFF8696B"/>
      </colorScale>
    </cfRule>
  </conditionalFormatting>
  <conditionalFormatting sqref="F14:G14">
    <cfRule type="colorScale" priority="7">
      <colorScale>
        <cfvo type="min"/>
        <cfvo type="percentile" val="50"/>
        <cfvo type="max"/>
        <color rgb="FF63BE7B"/>
        <color rgb="FFFFEB84"/>
        <color rgb="FFF8696B"/>
      </colorScale>
    </cfRule>
  </conditionalFormatting>
  <conditionalFormatting sqref="F15:G15">
    <cfRule type="colorScale" priority="6">
      <colorScale>
        <cfvo type="min"/>
        <cfvo type="percentile" val="50"/>
        <cfvo type="max"/>
        <color rgb="FF63BE7B"/>
        <color rgb="FFFFEB84"/>
        <color rgb="FFF8696B"/>
      </colorScale>
    </cfRule>
  </conditionalFormatting>
  <conditionalFormatting sqref="F16:G16">
    <cfRule type="colorScale" priority="5">
      <colorScale>
        <cfvo type="min"/>
        <cfvo type="percentile" val="50"/>
        <cfvo type="max"/>
        <color rgb="FF63BE7B"/>
        <color rgb="FFFFEB84"/>
        <color rgb="FFF8696B"/>
      </colorScale>
    </cfRule>
  </conditionalFormatting>
  <conditionalFormatting sqref="F17:G17">
    <cfRule type="colorScale" priority="4">
      <colorScale>
        <cfvo type="min"/>
        <cfvo type="percentile" val="50"/>
        <cfvo type="max"/>
        <color rgb="FF63BE7B"/>
        <color rgb="FFFFEB84"/>
        <color rgb="FFF8696B"/>
      </colorScale>
    </cfRule>
  </conditionalFormatting>
  <conditionalFormatting sqref="F18:G18">
    <cfRule type="colorScale" priority="3">
      <colorScale>
        <cfvo type="min"/>
        <cfvo type="percentile" val="50"/>
        <cfvo type="max"/>
        <color rgb="FF63BE7B"/>
        <color rgb="FFFFEB84"/>
        <color rgb="FFF8696B"/>
      </colorScale>
    </cfRule>
  </conditionalFormatting>
  <conditionalFormatting sqref="K2:P18">
    <cfRule type="cellIs" dxfId="3" priority="2" operator="notBetween">
      <formula>0.1</formula>
      <formula>-0.1</formula>
    </cfRule>
  </conditionalFormatting>
  <conditionalFormatting sqref="S2:U18">
    <cfRule type="cellIs" dxfId="2" priority="1" operator="notEqual">
      <formula>TRUE</formula>
    </cfRule>
  </conditionalFormatting>
  <dataValidations count="1">
    <dataValidation type="list" allowBlank="1" showInputMessage="1" showErrorMessage="1" sqref="A23" xr:uid="{81C27294-694C-4907-88AD-3D9D22524AE6}">
      <formula1>$A$2:$A$18</formula1>
    </dataValidation>
  </dataValidations>
  <pageMargins left="0.7" right="0.7" top="0.78740157499999996" bottom="0.78740157499999996"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AD16F-0124-4C07-BAE6-425754454066}">
  <dimension ref="A1:U72"/>
  <sheetViews>
    <sheetView workbookViewId="0">
      <selection activeCell="A29" sqref="A29"/>
    </sheetView>
  </sheetViews>
  <sheetFormatPr baseColWidth="10" defaultColWidth="11.44140625" defaultRowHeight="14.4" x14ac:dyDescent="0.3"/>
  <cols>
    <col min="1" max="1" width="92.88671875" style="185" bestFit="1" customWidth="1"/>
    <col min="2" max="16384" width="11.44140625" style="185"/>
  </cols>
  <sheetData>
    <row r="1" spans="1:21" x14ac:dyDescent="0.3">
      <c r="A1" s="185" t="s">
        <v>890</v>
      </c>
      <c r="B1" s="185" t="s">
        <v>891</v>
      </c>
      <c r="C1" s="185" t="s">
        <v>892</v>
      </c>
      <c r="D1" s="185" t="s">
        <v>893</v>
      </c>
      <c r="E1" s="185" t="s">
        <v>894</v>
      </c>
      <c r="F1" s="185" t="s">
        <v>895</v>
      </c>
      <c r="G1" s="185" t="s">
        <v>896</v>
      </c>
      <c r="H1" s="185" t="s">
        <v>897</v>
      </c>
      <c r="K1" s="185" t="s">
        <v>891</v>
      </c>
      <c r="L1" s="185" t="s">
        <v>892</v>
      </c>
      <c r="M1" s="185" t="s">
        <v>893</v>
      </c>
      <c r="N1" s="185" t="s">
        <v>894</v>
      </c>
      <c r="O1" s="185" t="s">
        <v>895</v>
      </c>
      <c r="P1" s="185" t="s">
        <v>896</v>
      </c>
      <c r="S1" s="185" t="s">
        <v>891</v>
      </c>
      <c r="T1" s="185" t="s">
        <v>893</v>
      </c>
      <c r="U1" s="185" t="s">
        <v>895</v>
      </c>
    </row>
    <row r="2" spans="1:21" x14ac:dyDescent="0.3">
      <c r="A2" s="185" t="s">
        <v>901</v>
      </c>
      <c r="B2" s="191">
        <v>0.23152418830841409</v>
      </c>
      <c r="C2" s="191">
        <v>0.1168327080943837</v>
      </c>
      <c r="D2" s="191">
        <v>0.15810844330435489</v>
      </c>
      <c r="E2" s="191">
        <v>0.12691269901632601</v>
      </c>
      <c r="F2" s="191">
        <v>0.56033510583632185</v>
      </c>
      <c r="G2" s="191">
        <v>0.17925305183842091</v>
      </c>
      <c r="H2" s="185" t="s">
        <v>902</v>
      </c>
      <c r="J2" s="185" t="s">
        <v>901</v>
      </c>
      <c r="K2" s="192">
        <f>(
VLOOKUP($J2,$A$2:$G$18,HLOOKUP(K$1,$B$1:$G$19,19,FALSE)+1,FALSE)
-
VLOOKUP($J2,'Ergebnisse Basisszenario'!$A$1:$H$21,HLOOKUP(K$1,'Ergebnisse Basisszenario'!$B$1:$G$21,21,FALSE)+1,FALSE)
)
/
VLOOKUP($J2,'Ergebnisse Basisszenario'!$A$1:$H$21,HLOOKUP(K$1,'Ergebnisse Basisszenario'!$B$1:$G$21,21,FALSE)+1,FALSE)</f>
        <v>-0.38010984357119604</v>
      </c>
      <c r="L2" s="192">
        <f>(
VLOOKUP($J2,$A$2:$G$18,HLOOKUP(L$1,$B$1:$G$19,19,FALSE)+1,FALSE)
-
VLOOKUP($J2,'Ergebnisse Basisszenario'!$A$1:$H$21,HLOOKUP(L$1,'Ergebnisse Basisszenario'!$B$1:$G$21,21,FALSE)+1,FALSE)
)
/
VLOOKUP($J2,'Ergebnisse Basisszenario'!$A$1:$H$21,HLOOKUP(L$1,'Ergebnisse Basisszenario'!$B$1:$G$21,21,FALSE)+1,FALSE)</f>
        <v>-8.2986151996384122E-2</v>
      </c>
      <c r="M2" s="192">
        <f>(
VLOOKUP($J2,$A$2:$G$18,HLOOKUP(M$1,$B$1:$G$19,19,FALSE)+1,FALSE)
-
VLOOKUP($J2,'Ergebnisse Basisszenario'!$A$1:$H$21,HLOOKUP(M$1,'Ergebnisse Basisszenario'!$B$1:$G$21,21,FALSE)+1,FALSE)
)
/
VLOOKUP($J2,'Ergebnisse Basisszenario'!$A$1:$H$21,HLOOKUP(M$1,'Ergebnisse Basisszenario'!$B$1:$G$21,21,FALSE)+1,FALSE)</f>
        <v>-0.34581373705784096</v>
      </c>
      <c r="N2" s="192">
        <f>(
VLOOKUP($J2,$A$2:$G$18,HLOOKUP(N$1,$B$1:$G$19,19,FALSE)+1,FALSE)
-
VLOOKUP($J2,'Ergebnisse Basisszenario'!$A$1:$H$21,HLOOKUP(N$1,'Ergebnisse Basisszenario'!$B$1:$G$21,21,FALSE)+1,FALSE)
)
/
VLOOKUP($J2,'Ergebnisse Basisszenario'!$A$1:$H$21,HLOOKUP(N$1,'Ergebnisse Basisszenario'!$B$1:$G$21,21,FALSE)+1,FALSE)</f>
        <v>-8.4710687179414809E-2</v>
      </c>
      <c r="O2" s="192">
        <f>(
VLOOKUP($J2,$A$2:$G$18,HLOOKUP(O$1,$B$1:$G$19,19,FALSE)+1,FALSE)
-
VLOOKUP($J2,'Ergebnisse Basisszenario'!$A$1:$H$21,HLOOKUP(O$1,'Ergebnisse Basisszenario'!$B$1:$G$21,21,FALSE)+1,FALSE)
)
/
VLOOKUP($J2,'Ergebnisse Basisszenario'!$A$1:$H$21,HLOOKUP(O$1,'Ergebnisse Basisszenario'!$B$1:$G$21,21,FALSE)+1,FALSE)</f>
        <v>-0.15363746520291027</v>
      </c>
      <c r="P2" s="192">
        <f>(
VLOOKUP($J2,$A$2:$G$18,HLOOKUP(P$1,$B$1:$G$19,19,FALSE)+1,FALSE)
-
VLOOKUP($J2,'Ergebnisse Basisszenario'!$A$1:$H$21,HLOOKUP(P$1,'Ergebnisse Basisszenario'!$B$1:$G$21,21,FALSE)+1,FALSE)
)
/
VLOOKUP($J2,'Ergebnisse Basisszenario'!$A$1:$H$21,HLOOKUP(P$1,'Ergebnisse Basisszenario'!$B$1:$G$21,21,FALSE)+1,FALSE)</f>
        <v>-9.4229740885824198E-2</v>
      </c>
      <c r="R2" s="185" t="s">
        <v>901</v>
      </c>
      <c r="S2" s="185" t="b">
        <f>IF(
IF((VLOOKUP($R2,$A$2:$G$18,HLOOKUP(S$1,$B$1:$G$19,19,FALSE)+1,FALSE)-VLOOKUP($R2,$A$2:$G$18,HLOOKUP(S$1,$B$1:$G$19,19,FALSE)+2,FALSE))&lt;0,TRUE,FALSE)
=
IF((VLOOKUP($R2,'Ergebnisse Basisszenario'!$A$2:$G$20,HLOOKUP(S$1,'Ergebnisse Basisszenario'!$B$1:$G$21,21,FALSE)+1,FALSE)-VLOOKUP($R2,'Ergebnisse Basisszenario'!$A$2:$G$20,HLOOKUP(S$1,'Ergebnisse Basisszenario'!$B$1:$G$21,21,FALSE)+2,FALSE))&lt;0,TRUE,FALSE),
TRUE,FALSE)</f>
        <v>1</v>
      </c>
      <c r="T2" s="185" t="b">
        <f>IF(
IF((VLOOKUP($R2,$A$2:$G$18,HLOOKUP(T$1,$B$1:$G$19,19,FALSE)+1,FALSE)-VLOOKUP($R2,$A$2:$G$18,HLOOKUP(T$1,$B$1:$G$19,19,FALSE)+2,FALSE))&lt;0,TRUE,FALSE)
=
IF((VLOOKUP($R2,'Ergebnisse Basisszenario'!$A$2:$G$20,HLOOKUP(T$1,'Ergebnisse Basisszenario'!$B$1:$G$21,21,FALSE)+1,FALSE)-VLOOKUP($R2,'Ergebnisse Basisszenario'!$A$2:$G$20,HLOOKUP(T$1,'Ergebnisse Basisszenario'!$B$1:$G$21,21,FALSE)+2,FALSE))&lt;0,TRUE,FALSE),
TRUE,FALSE)</f>
        <v>1</v>
      </c>
      <c r="U2" s="185" t="b">
        <f>IF(
IF((VLOOKUP($R2,$A$2:$G$18,HLOOKUP(U$1,$B$1:$G$19,19,FALSE)+1,FALSE)-VLOOKUP($R2,$A$2:$G$18,HLOOKUP(U$1,$B$1:$G$19,19,FALSE)+2,FALSE))&lt;0,TRUE,FALSE)
=
IF((VLOOKUP($R2,'Ergebnisse Basisszenario'!$A$2:$G$20,HLOOKUP(U$1,'Ergebnisse Basisszenario'!$B$1:$G$21,21,FALSE)+1,FALSE)-VLOOKUP($R2,'Ergebnisse Basisszenario'!$A$2:$G$20,HLOOKUP(U$1,'Ergebnisse Basisszenario'!$B$1:$G$21,21,FALSE)+2,FALSE))&lt;0,TRUE,FALSE),
TRUE,FALSE)</f>
        <v>1</v>
      </c>
    </row>
    <row r="3" spans="1:21" x14ac:dyDescent="0.3">
      <c r="A3" s="185" t="s">
        <v>903</v>
      </c>
      <c r="B3" s="191">
        <v>46.297347844305662</v>
      </c>
      <c r="C3" s="191">
        <v>43.151367758651453</v>
      </c>
      <c r="D3" s="191">
        <v>48.834937529330112</v>
      </c>
      <c r="E3" s="191">
        <v>51.401237404902261</v>
      </c>
      <c r="F3" s="191">
        <v>177.0719375122691</v>
      </c>
      <c r="G3" s="191">
        <v>72.11064481920333</v>
      </c>
      <c r="H3" s="185" t="s">
        <v>904</v>
      </c>
      <c r="J3" s="185" t="s">
        <v>903</v>
      </c>
      <c r="K3" s="192">
        <f>(
VLOOKUP($J3,$A$2:$G$18,HLOOKUP(K$1,$B$1:$G$19,19,FALSE)+1,FALSE)
-
VLOOKUP($J3,'Ergebnisse Basisszenario'!$A$1:$H$21,HLOOKUP(K$1,'Ergebnisse Basisszenario'!$B$1:$G$21,21,FALSE)+1,FALSE)
)
/
VLOOKUP($J3,'Ergebnisse Basisszenario'!$A$1:$H$21,HLOOKUP(K$1,'Ergebnisse Basisszenario'!$B$1:$G$21,21,FALSE)+1,FALSE)</f>
        <v>-0.50970811599511945</v>
      </c>
      <c r="L3" s="192">
        <f>(
VLOOKUP($J3,$A$2:$G$18,HLOOKUP(L$1,$B$1:$G$19,19,FALSE)+1,FALSE)
-
VLOOKUP($J3,'Ergebnisse Basisszenario'!$A$1:$H$21,HLOOKUP(L$1,'Ergebnisse Basisszenario'!$B$1:$G$21,21,FALSE)+1,FALSE)
)
/
VLOOKUP($J3,'Ergebnisse Basisszenario'!$A$1:$H$21,HLOOKUP(L$1,'Ergebnisse Basisszenario'!$B$1:$G$21,21,FALSE)+1,FALSE)</f>
        <v>-0.1613243649459212</v>
      </c>
      <c r="M3" s="192">
        <f>(
VLOOKUP($J3,$A$2:$G$18,HLOOKUP(M$1,$B$1:$G$19,19,FALSE)+1,FALSE)
-
VLOOKUP($J3,'Ergebnisse Basisszenario'!$A$1:$H$21,HLOOKUP(M$1,'Ergebnisse Basisszenario'!$B$1:$G$21,21,FALSE)+1,FALSE)
)
/
VLOOKUP($J3,'Ergebnisse Basisszenario'!$A$1:$H$21,HLOOKUP(M$1,'Ergebnisse Basisszenario'!$B$1:$G$21,21,FALSE)+1,FALSE)</f>
        <v>-0.51629371335042562</v>
      </c>
      <c r="N3" s="192">
        <f>(
VLOOKUP($J3,$A$2:$G$18,HLOOKUP(N$1,$B$1:$G$19,19,FALSE)+1,FALSE)
-
VLOOKUP($J3,'Ergebnisse Basisszenario'!$A$1:$H$21,HLOOKUP(N$1,'Ergebnisse Basisszenario'!$B$1:$G$21,21,FALSE)+1,FALSE)
)
/
VLOOKUP($J3,'Ergebnisse Basisszenario'!$A$1:$H$21,HLOOKUP(N$1,'Ergebnisse Basisszenario'!$B$1:$G$21,21,FALSE)+1,FALSE)</f>
        <v>-0.15210981998989584</v>
      </c>
      <c r="O3" s="192">
        <f>(
VLOOKUP($J3,$A$2:$G$18,HLOOKUP(O$1,$B$1:$G$19,19,FALSE)+1,FALSE)
-
VLOOKUP($J3,'Ergebnisse Basisszenario'!$A$1:$H$21,HLOOKUP(O$1,'Ergebnisse Basisszenario'!$B$1:$G$21,21,FALSE)+1,FALSE)
)
/
VLOOKUP($J3,'Ergebnisse Basisszenario'!$A$1:$H$21,HLOOKUP(O$1,'Ergebnisse Basisszenario'!$B$1:$G$21,21,FALSE)+1,FALSE)</f>
        <v>-0.18941140947011195</v>
      </c>
      <c r="P3" s="192">
        <f>(
VLOOKUP($J3,$A$2:$G$18,HLOOKUP(P$1,$B$1:$G$19,19,FALSE)+1,FALSE)
-
VLOOKUP($J3,'Ergebnisse Basisszenario'!$A$1:$H$21,HLOOKUP(P$1,'Ergebnisse Basisszenario'!$B$1:$G$21,21,FALSE)+1,FALSE)
)
/
VLOOKUP($J3,'Ergebnisse Basisszenario'!$A$1:$H$21,HLOOKUP(P$1,'Ergebnisse Basisszenario'!$B$1:$G$21,21,FALSE)+1,FALSE)</f>
        <v>-0.16876011760602821</v>
      </c>
      <c r="R3" s="185" t="s">
        <v>903</v>
      </c>
      <c r="S3" s="185" t="b">
        <f>IF(
IF((VLOOKUP($R3,$A$2:$G$18,HLOOKUP(S$1,$B$1:$G$19,19,FALSE)+1,FALSE)-VLOOKUP($R3,$A$2:$G$18,HLOOKUP(S$1,$B$1:$G$19,19,FALSE)+2,FALSE))&lt;0,TRUE,FALSE)
=
IF((VLOOKUP($R3,'Ergebnisse Basisszenario'!$A$2:$G$20,HLOOKUP(S$1,'Ergebnisse Basisszenario'!$B$1:$G$21,21,FALSE)+1,FALSE)-VLOOKUP($R3,'Ergebnisse Basisszenario'!$A$2:$G$20,HLOOKUP(S$1,'Ergebnisse Basisszenario'!$B$1:$G$21,21,FALSE)+2,FALSE))&lt;0,TRUE,FALSE),
TRUE,FALSE)</f>
        <v>1</v>
      </c>
      <c r="T3" s="185" t="b">
        <f>IF(
IF((VLOOKUP($R3,$A$2:$G$18,HLOOKUP(T$1,$B$1:$G$19,19,FALSE)+1,FALSE)-VLOOKUP($R3,$A$2:$G$18,HLOOKUP(T$1,$B$1:$G$19,19,FALSE)+2,FALSE))&lt;0,TRUE,FALSE)
=
IF((VLOOKUP($R3,'Ergebnisse Basisszenario'!$A$2:$G$20,HLOOKUP(T$1,'Ergebnisse Basisszenario'!$B$1:$G$21,21,FALSE)+1,FALSE)-VLOOKUP($R3,'Ergebnisse Basisszenario'!$A$2:$G$20,HLOOKUP(T$1,'Ergebnisse Basisszenario'!$B$1:$G$21,21,FALSE)+2,FALSE))&lt;0,TRUE,FALSE),
TRUE,FALSE)</f>
        <v>0</v>
      </c>
      <c r="U3" s="185" t="b">
        <f>IF(
IF((VLOOKUP($R3,$A$2:$G$18,HLOOKUP(U$1,$B$1:$G$19,19,FALSE)+1,FALSE)-VLOOKUP($R3,$A$2:$G$18,HLOOKUP(U$1,$B$1:$G$19,19,FALSE)+2,FALSE))&lt;0,TRUE,FALSE)
=
IF((VLOOKUP($R3,'Ergebnisse Basisszenario'!$A$2:$G$20,HLOOKUP(U$1,'Ergebnisse Basisszenario'!$B$1:$G$21,21,FALSE)+1,FALSE)-VLOOKUP($R3,'Ergebnisse Basisszenario'!$A$2:$G$20,HLOOKUP(U$1,'Ergebnisse Basisszenario'!$B$1:$G$21,21,FALSE)+2,FALSE))&lt;0,TRUE,FALSE),
TRUE,FALSE)</f>
        <v>1</v>
      </c>
    </row>
    <row r="4" spans="1:21" hidden="1" x14ac:dyDescent="0.3">
      <c r="A4" s="185" t="s">
        <v>906</v>
      </c>
      <c r="B4" s="191">
        <v>45.255180214560312</v>
      </c>
      <c r="C4" s="191">
        <v>42.942549777206878</v>
      </c>
      <c r="D4" s="191">
        <v>48.39169412539232</v>
      </c>
      <c r="E4" s="191">
        <v>51.174489473276907</v>
      </c>
      <c r="F4" s="191">
        <v>175.47057091230619</v>
      </c>
      <c r="G4" s="191">
        <v>71.766373483478432</v>
      </c>
      <c r="H4" s="185" t="s">
        <v>904</v>
      </c>
      <c r="J4" s="185" t="s">
        <v>906</v>
      </c>
      <c r="K4" s="192">
        <f>(
VLOOKUP($J4,$A$2:$G$18,HLOOKUP(K$1,$B$1:$G$19,19,FALSE)+1,FALSE)
-
VLOOKUP($J4,'Ergebnisse Basisszenario'!$A$1:$H$21,HLOOKUP(K$1,'Ergebnisse Basisszenario'!$B$1:$G$21,21,FALSE)+1,FALSE)
)
/
VLOOKUP($J4,'Ergebnisse Basisszenario'!$A$1:$H$21,HLOOKUP(K$1,'Ergebnisse Basisszenario'!$B$1:$G$21,21,FALSE)+1,FALSE)</f>
        <v>-0.50747141706565346</v>
      </c>
      <c r="L4" s="192">
        <f>(
VLOOKUP($J4,$A$2:$G$18,HLOOKUP(L$1,$B$1:$G$19,19,FALSE)+1,FALSE)
-
VLOOKUP($J4,'Ergebnisse Basisszenario'!$A$1:$H$21,HLOOKUP(L$1,'Ergebnisse Basisszenario'!$B$1:$G$21,21,FALSE)+1,FALSE)
)
/
VLOOKUP($J4,'Ergebnisse Basisszenario'!$A$1:$H$21,HLOOKUP(L$1,'Ergebnisse Basisszenario'!$B$1:$G$21,21,FALSE)+1,FALSE)</f>
        <v>-0.15971647362229957</v>
      </c>
      <c r="M4" s="192">
        <f>(
VLOOKUP($J4,$A$2:$G$18,HLOOKUP(M$1,$B$1:$G$19,19,FALSE)+1,FALSE)
-
VLOOKUP($J4,'Ergebnisse Basisszenario'!$A$1:$H$21,HLOOKUP(M$1,'Ergebnisse Basisszenario'!$B$1:$G$21,21,FALSE)+1,FALSE)
)
/
VLOOKUP($J4,'Ergebnisse Basisszenario'!$A$1:$H$21,HLOOKUP(M$1,'Ergebnisse Basisszenario'!$B$1:$G$21,21,FALSE)+1,FALSE)</f>
        <v>-0.51925220205319922</v>
      </c>
      <c r="N4" s="192">
        <f>(
VLOOKUP($J4,$A$2:$G$18,HLOOKUP(N$1,$B$1:$G$19,19,FALSE)+1,FALSE)
-
VLOOKUP($J4,'Ergebnisse Basisszenario'!$A$1:$H$21,HLOOKUP(N$1,'Ergebnisse Basisszenario'!$B$1:$G$21,21,FALSE)+1,FALSE)
)
/
VLOOKUP($J4,'Ergebnisse Basisszenario'!$A$1:$H$21,HLOOKUP(N$1,'Ergebnisse Basisszenario'!$B$1:$G$21,21,FALSE)+1,FALSE)</f>
        <v>-0.15052230773752678</v>
      </c>
      <c r="O4" s="192">
        <f>(
VLOOKUP($J4,$A$2:$G$18,HLOOKUP(O$1,$B$1:$G$19,19,FALSE)+1,FALSE)
-
VLOOKUP($J4,'Ergebnisse Basisszenario'!$A$1:$H$21,HLOOKUP(O$1,'Ergebnisse Basisszenario'!$B$1:$G$21,21,FALSE)+1,FALSE)
)
/
VLOOKUP($J4,'Ergebnisse Basisszenario'!$A$1:$H$21,HLOOKUP(O$1,'Ergebnisse Basisszenario'!$B$1:$G$21,21,FALSE)+1,FALSE)</f>
        <v>-0.18783376915164277</v>
      </c>
      <c r="P4" s="192">
        <f>(
VLOOKUP($J4,$A$2:$G$18,HLOOKUP(P$1,$B$1:$G$19,19,FALSE)+1,FALSE)
-
VLOOKUP($J4,'Ergebnisse Basisszenario'!$A$1:$H$21,HLOOKUP(P$1,'Ergebnisse Basisszenario'!$B$1:$G$21,21,FALSE)+1,FALSE)
)
/
VLOOKUP($J4,'Ergebnisse Basisszenario'!$A$1:$H$21,HLOOKUP(P$1,'Ergebnisse Basisszenario'!$B$1:$G$21,21,FALSE)+1,FALSE)</f>
        <v>-0.16708379286584729</v>
      </c>
      <c r="R4" s="185" t="s">
        <v>906</v>
      </c>
      <c r="S4" s="185" t="b">
        <f>IF(
IF((VLOOKUP($R4,$A$2:$G$18,HLOOKUP(S$1,$B$1:$G$19,19,FALSE)+1,FALSE)-VLOOKUP($R4,$A$2:$G$18,HLOOKUP(S$1,$B$1:$G$19,19,FALSE)+2,FALSE))&lt;0,TRUE,FALSE)
=
IF((VLOOKUP($R4,'Ergebnisse Basisszenario'!$A$2:$G$20,HLOOKUP(S$1,'Ergebnisse Basisszenario'!$B$1:$G$21,21,FALSE)+1,FALSE)-VLOOKUP($R4,'Ergebnisse Basisszenario'!$A$2:$G$20,HLOOKUP(S$1,'Ergebnisse Basisszenario'!$B$1:$G$21,21,FALSE)+2,FALSE))&lt;0,TRUE,FALSE),
TRUE,FALSE)</f>
        <v>1</v>
      </c>
      <c r="T4" s="185" t="b">
        <f>IF(
IF((VLOOKUP($R4,$A$2:$G$18,HLOOKUP(T$1,$B$1:$G$19,19,FALSE)+1,FALSE)-VLOOKUP($R4,$A$2:$G$18,HLOOKUP(T$1,$B$1:$G$19,19,FALSE)+2,FALSE))&lt;0,TRUE,FALSE)
=
IF((VLOOKUP($R4,'Ergebnisse Basisszenario'!$A$2:$G$20,HLOOKUP(T$1,'Ergebnisse Basisszenario'!$B$1:$G$21,21,FALSE)+1,FALSE)-VLOOKUP($R4,'Ergebnisse Basisszenario'!$A$2:$G$20,HLOOKUP(T$1,'Ergebnisse Basisszenario'!$B$1:$G$21,21,FALSE)+2,FALSE))&lt;0,TRUE,FALSE),
TRUE,FALSE)</f>
        <v>0</v>
      </c>
      <c r="U4" s="185" t="b">
        <f>IF(
IF((VLOOKUP($R4,$A$2:$G$18,HLOOKUP(U$1,$B$1:$G$19,19,FALSE)+1,FALSE)-VLOOKUP($R4,$A$2:$G$18,HLOOKUP(U$1,$B$1:$G$19,19,FALSE)+2,FALSE))&lt;0,TRUE,FALSE)
=
IF((VLOOKUP($R4,'Ergebnisse Basisszenario'!$A$2:$G$20,HLOOKUP(U$1,'Ergebnisse Basisszenario'!$B$1:$G$21,21,FALSE)+1,FALSE)-VLOOKUP($R4,'Ergebnisse Basisszenario'!$A$2:$G$20,HLOOKUP(U$1,'Ergebnisse Basisszenario'!$B$1:$G$21,21,FALSE)+2,FALSE))&lt;0,TRUE,FALSE),
TRUE,FALSE)</f>
        <v>1</v>
      </c>
    </row>
    <row r="5" spans="1:21" x14ac:dyDescent="0.3">
      <c r="A5" s="185" t="s">
        <v>908</v>
      </c>
      <c r="B5" s="191">
        <v>1696.7250783099209</v>
      </c>
      <c r="C5" s="191">
        <v>513.29480567462679</v>
      </c>
      <c r="D5" s="191">
        <v>699.59268771669417</v>
      </c>
      <c r="E5" s="191">
        <v>526.19524652970313</v>
      </c>
      <c r="F5" s="191">
        <v>3004.8137310764</v>
      </c>
      <c r="G5" s="191">
        <v>755.86333367364944</v>
      </c>
      <c r="H5" s="185" t="s">
        <v>909</v>
      </c>
      <c r="J5" s="185" t="s">
        <v>908</v>
      </c>
      <c r="K5" s="192">
        <f>(
VLOOKUP($J5,$A$2:$G$18,HLOOKUP(K$1,$B$1:$G$19,19,FALSE)+1,FALSE)
-
VLOOKUP($J5,'Ergebnisse Basisszenario'!$A$1:$H$21,HLOOKUP(K$1,'Ergebnisse Basisszenario'!$B$1:$G$21,21,FALSE)+1,FALSE)
)
/
VLOOKUP($J5,'Ergebnisse Basisszenario'!$A$1:$H$21,HLOOKUP(K$1,'Ergebnisse Basisszenario'!$B$1:$G$21,21,FALSE)+1,FALSE)</f>
        <v>-0.52323157720686575</v>
      </c>
      <c r="L5" s="192">
        <f>(
VLOOKUP($J5,$A$2:$G$18,HLOOKUP(L$1,$B$1:$G$19,19,FALSE)+1,FALSE)
-
VLOOKUP($J5,'Ergebnisse Basisszenario'!$A$1:$H$21,HLOOKUP(L$1,'Ergebnisse Basisszenario'!$B$1:$G$21,21,FALSE)+1,FALSE)
)
/
VLOOKUP($J5,'Ergebnisse Basisszenario'!$A$1:$H$21,HLOOKUP(L$1,'Ergebnisse Basisszenario'!$B$1:$G$21,21,FALSE)+1,FALSE)</f>
        <v>-2.6943268307371242E-2</v>
      </c>
      <c r="M5" s="192">
        <f>(
VLOOKUP($J5,$A$2:$G$18,HLOOKUP(M$1,$B$1:$G$19,19,FALSE)+1,FALSE)
-
VLOOKUP($J5,'Ergebnisse Basisszenario'!$A$1:$H$21,HLOOKUP(M$1,'Ergebnisse Basisszenario'!$B$1:$G$21,21,FALSE)+1,FALSE)
)
/
VLOOKUP($J5,'Ergebnisse Basisszenario'!$A$1:$H$21,HLOOKUP(M$1,'Ergebnisse Basisszenario'!$B$1:$G$21,21,FALSE)+1,FALSE)</f>
        <v>-0.1272528575911053</v>
      </c>
      <c r="N5" s="192">
        <f>(
VLOOKUP($J5,$A$2:$G$18,HLOOKUP(N$1,$B$1:$G$19,19,FALSE)+1,FALSE)
-
VLOOKUP($J5,'Ergebnisse Basisszenario'!$A$1:$H$21,HLOOKUP(N$1,'Ergebnisse Basisszenario'!$B$1:$G$21,21,FALSE)+1,FALSE)
)
/
VLOOKUP($J5,'Ergebnisse Basisszenario'!$A$1:$H$21,HLOOKUP(N$1,'Ergebnisse Basisszenario'!$B$1:$G$21,21,FALSE)+1,FALSE)</f>
        <v>-2.9132824883968456E-2</v>
      </c>
      <c r="O5" s="192">
        <f>(
VLOOKUP($J5,$A$2:$G$18,HLOOKUP(O$1,$B$1:$G$19,19,FALSE)+1,FALSE)
-
VLOOKUP($J5,'Ergebnisse Basisszenario'!$A$1:$H$21,HLOOKUP(O$1,'Ergebnisse Basisszenario'!$B$1:$G$21,21,FALSE)+1,FALSE)
)
/
VLOOKUP($J5,'Ergebnisse Basisszenario'!$A$1:$H$21,HLOOKUP(O$1,'Ergebnisse Basisszenario'!$B$1:$G$21,21,FALSE)+1,FALSE)</f>
        <v>-0.1616180426805337</v>
      </c>
      <c r="P5" s="192">
        <f>(
VLOOKUP($J5,$A$2:$G$18,HLOOKUP(P$1,$B$1:$G$19,19,FALSE)+1,FALSE)
-
VLOOKUP($J5,'Ergebnisse Basisszenario'!$A$1:$H$21,HLOOKUP(P$1,'Ergebnisse Basisszenario'!$B$1:$G$21,21,FALSE)+1,FALSE)
)
/
VLOOKUP($J5,'Ergebnisse Basisszenario'!$A$1:$H$21,HLOOKUP(P$1,'Ergebnisse Basisszenario'!$B$1:$G$21,21,FALSE)+1,FALSE)</f>
        <v>-3.2100249316952524E-2</v>
      </c>
      <c r="R5" s="185" t="s">
        <v>908</v>
      </c>
      <c r="S5" s="185" t="b">
        <f>IF(
IF((VLOOKUP($R5,$A$2:$G$18,HLOOKUP(S$1,$B$1:$G$19,19,FALSE)+1,FALSE)-VLOOKUP($R5,$A$2:$G$18,HLOOKUP(S$1,$B$1:$G$19,19,FALSE)+2,FALSE))&lt;0,TRUE,FALSE)
=
IF((VLOOKUP($R5,'Ergebnisse Basisszenario'!$A$2:$G$20,HLOOKUP(S$1,'Ergebnisse Basisszenario'!$B$1:$G$21,21,FALSE)+1,FALSE)-VLOOKUP($R5,'Ergebnisse Basisszenario'!$A$2:$G$20,HLOOKUP(S$1,'Ergebnisse Basisszenario'!$B$1:$G$21,21,FALSE)+2,FALSE))&lt;0,TRUE,FALSE),
TRUE,FALSE)</f>
        <v>1</v>
      </c>
      <c r="T5" s="185" t="b">
        <f>IF(
IF((VLOOKUP($R5,$A$2:$G$18,HLOOKUP(T$1,$B$1:$G$19,19,FALSE)+1,FALSE)-VLOOKUP($R5,$A$2:$G$18,HLOOKUP(T$1,$B$1:$G$19,19,FALSE)+2,FALSE))&lt;0,TRUE,FALSE)
=
IF((VLOOKUP($R5,'Ergebnisse Basisszenario'!$A$2:$G$20,HLOOKUP(T$1,'Ergebnisse Basisszenario'!$B$1:$G$21,21,FALSE)+1,FALSE)-VLOOKUP($R5,'Ergebnisse Basisszenario'!$A$2:$G$20,HLOOKUP(T$1,'Ergebnisse Basisszenario'!$B$1:$G$21,21,FALSE)+2,FALSE))&lt;0,TRUE,FALSE),
TRUE,FALSE)</f>
        <v>1</v>
      </c>
      <c r="U5" s="185" t="b">
        <f>IF(
IF((VLOOKUP($R5,$A$2:$G$18,HLOOKUP(U$1,$B$1:$G$19,19,FALSE)+1,FALSE)-VLOOKUP($R5,$A$2:$G$18,HLOOKUP(U$1,$B$1:$G$19,19,FALSE)+2,FALSE))&lt;0,TRUE,FALSE)
=
IF((VLOOKUP($R5,'Ergebnisse Basisszenario'!$A$2:$G$20,HLOOKUP(U$1,'Ergebnisse Basisszenario'!$B$1:$G$21,21,FALSE)+1,FALSE)-VLOOKUP($R5,'Ergebnisse Basisszenario'!$A$2:$G$20,HLOOKUP(U$1,'Ergebnisse Basisszenario'!$B$1:$G$21,21,FALSE)+2,FALSE))&lt;0,TRUE,FALSE),
TRUE,FALSE)</f>
        <v>1</v>
      </c>
    </row>
    <row r="6" spans="1:21" x14ac:dyDescent="0.3">
      <c r="A6" s="185" t="s">
        <v>910</v>
      </c>
      <c r="B6" s="191">
        <v>678.99354535914836</v>
      </c>
      <c r="C6" s="191">
        <v>677.96618430176477</v>
      </c>
      <c r="D6" s="191">
        <v>839.64011858744243</v>
      </c>
      <c r="E6" s="191">
        <v>792.36664616674648</v>
      </c>
      <c r="F6" s="191">
        <v>2593.629377033958</v>
      </c>
      <c r="G6" s="191">
        <v>1128.207528835545</v>
      </c>
      <c r="H6" s="185" t="s">
        <v>911</v>
      </c>
      <c r="J6" s="185" t="s">
        <v>910</v>
      </c>
      <c r="K6" s="192">
        <f>(
VLOOKUP($J6,$A$2:$G$18,HLOOKUP(K$1,$B$1:$G$19,19,FALSE)+1,FALSE)
-
VLOOKUP($J6,'Ergebnisse Basisszenario'!$A$1:$H$21,HLOOKUP(K$1,'Ergebnisse Basisszenario'!$B$1:$G$21,21,FALSE)+1,FALSE)
)
/
VLOOKUP($J6,'Ergebnisse Basisszenario'!$A$1:$H$21,HLOOKUP(K$1,'Ergebnisse Basisszenario'!$B$1:$G$21,21,FALSE)+1,FALSE)</f>
        <v>-0.42699045975509381</v>
      </c>
      <c r="L6" s="192">
        <f>(
VLOOKUP($J6,$A$2:$G$18,HLOOKUP(L$1,$B$1:$G$19,19,FALSE)+1,FALSE)
-
VLOOKUP($J6,'Ergebnisse Basisszenario'!$A$1:$H$21,HLOOKUP(L$1,'Ergebnisse Basisszenario'!$B$1:$G$21,21,FALSE)+1,FALSE)
)
/
VLOOKUP($J6,'Ergebnisse Basisszenario'!$A$1:$H$21,HLOOKUP(L$1,'Ergebnisse Basisszenario'!$B$1:$G$21,21,FALSE)+1,FALSE)</f>
        <v>-0.14875183173548523</v>
      </c>
      <c r="M6" s="192">
        <f>(
VLOOKUP($J6,$A$2:$G$18,HLOOKUP(M$1,$B$1:$G$19,19,FALSE)+1,FALSE)
-
VLOOKUP($J6,'Ergebnisse Basisszenario'!$A$1:$H$21,HLOOKUP(M$1,'Ergebnisse Basisszenario'!$B$1:$G$21,21,FALSE)+1,FALSE)
)
/
VLOOKUP($J6,'Ergebnisse Basisszenario'!$A$1:$H$21,HLOOKUP(M$1,'Ergebnisse Basisszenario'!$B$1:$G$21,21,FALSE)+1,FALSE)</f>
        <v>-0.41582218642555885</v>
      </c>
      <c r="N6" s="192">
        <f>(
VLOOKUP($J6,$A$2:$G$18,HLOOKUP(N$1,$B$1:$G$19,19,FALSE)+1,FALSE)
-
VLOOKUP($J6,'Ergebnisse Basisszenario'!$A$1:$H$21,HLOOKUP(N$1,'Ergebnisse Basisszenario'!$B$1:$G$21,21,FALSE)+1,FALSE)
)
/
VLOOKUP($J6,'Ergebnisse Basisszenario'!$A$1:$H$21,HLOOKUP(N$1,'Ergebnisse Basisszenario'!$B$1:$G$21,21,FALSE)+1,FALSE)</f>
        <v>-0.14244316314834668</v>
      </c>
      <c r="O6" s="192">
        <f>(
VLOOKUP($J6,$A$2:$G$18,HLOOKUP(O$1,$B$1:$G$19,19,FALSE)+1,FALSE)
-
VLOOKUP($J6,'Ergebnisse Basisszenario'!$A$1:$H$21,HLOOKUP(O$1,'Ergebnisse Basisszenario'!$B$1:$G$21,21,FALSE)+1,FALSE)
)
/
VLOOKUP($J6,'Ergebnisse Basisszenario'!$A$1:$H$21,HLOOKUP(O$1,'Ergebnisse Basisszenario'!$B$1:$G$21,21,FALSE)+1,FALSE)</f>
        <v>-0.17059124765465997</v>
      </c>
      <c r="P6" s="192">
        <f>(
VLOOKUP($J6,$A$2:$G$18,HLOOKUP(P$1,$B$1:$G$19,19,FALSE)+1,FALSE)
-
VLOOKUP($J6,'Ergebnisse Basisszenario'!$A$1:$H$21,HLOOKUP(P$1,'Ergebnisse Basisszenario'!$B$1:$G$21,21,FALSE)+1,FALSE)
)
/
VLOOKUP($J6,'Ergebnisse Basisszenario'!$A$1:$H$21,HLOOKUP(P$1,'Ergebnisse Basisszenario'!$B$1:$G$21,21,FALSE)+1,FALSE)</f>
        <v>-0.15626859508838684</v>
      </c>
      <c r="R6" s="185" t="s">
        <v>910</v>
      </c>
      <c r="S6" s="185" t="b">
        <f>IF(
IF((VLOOKUP($R6,$A$2:$G$18,HLOOKUP(S$1,$B$1:$G$19,19,FALSE)+1,FALSE)-VLOOKUP($R6,$A$2:$G$18,HLOOKUP(S$1,$B$1:$G$19,19,FALSE)+2,FALSE))&lt;0,TRUE,FALSE)
=
IF((VLOOKUP($R6,'Ergebnisse Basisszenario'!$A$2:$G$20,HLOOKUP(S$1,'Ergebnisse Basisszenario'!$B$1:$G$21,21,FALSE)+1,FALSE)-VLOOKUP($R6,'Ergebnisse Basisszenario'!$A$2:$G$20,HLOOKUP(S$1,'Ergebnisse Basisszenario'!$B$1:$G$21,21,FALSE)+2,FALSE))&lt;0,TRUE,FALSE),
TRUE,FALSE)</f>
        <v>1</v>
      </c>
      <c r="T6" s="185" t="b">
        <f>IF(
IF((VLOOKUP($R6,$A$2:$G$18,HLOOKUP(T$1,$B$1:$G$19,19,FALSE)+1,FALSE)-VLOOKUP($R6,$A$2:$G$18,HLOOKUP(T$1,$B$1:$G$19,19,FALSE)+2,FALSE))&lt;0,TRUE,FALSE)
=
IF((VLOOKUP($R6,'Ergebnisse Basisszenario'!$A$2:$G$20,HLOOKUP(T$1,'Ergebnisse Basisszenario'!$B$1:$G$21,21,FALSE)+1,FALSE)-VLOOKUP($R6,'Ergebnisse Basisszenario'!$A$2:$G$20,HLOOKUP(T$1,'Ergebnisse Basisszenario'!$B$1:$G$21,21,FALSE)+2,FALSE))&lt;0,TRUE,FALSE),
TRUE,FALSE)</f>
        <v>1</v>
      </c>
      <c r="U6" s="185" t="b">
        <f>IF(
IF((VLOOKUP($R6,$A$2:$G$18,HLOOKUP(U$1,$B$1:$G$19,19,FALSE)+1,FALSE)-VLOOKUP($R6,$A$2:$G$18,HLOOKUP(U$1,$B$1:$G$19,19,FALSE)+2,FALSE))&lt;0,TRUE,FALSE)
=
IF((VLOOKUP($R6,'Ergebnisse Basisszenario'!$A$2:$G$20,HLOOKUP(U$1,'Ergebnisse Basisszenario'!$B$1:$G$21,21,FALSE)+1,FALSE)-VLOOKUP($R6,'Ergebnisse Basisszenario'!$A$2:$G$20,HLOOKUP(U$1,'Ergebnisse Basisszenario'!$B$1:$G$21,21,FALSE)+2,FALSE))&lt;0,TRUE,FALSE),
TRUE,FALSE)</f>
        <v>1</v>
      </c>
    </row>
    <row r="7" spans="1:21" x14ac:dyDescent="0.3">
      <c r="A7" s="185" t="s">
        <v>912</v>
      </c>
      <c r="B7" s="191">
        <v>2.1167723437212072E-2</v>
      </c>
      <c r="C7" s="191">
        <v>1.9469066372208011E-2</v>
      </c>
      <c r="D7" s="191">
        <v>1.673226283958177E-2</v>
      </c>
      <c r="E7" s="191">
        <v>2.1565101151145249E-2</v>
      </c>
      <c r="F7" s="191">
        <v>7.7465078290226932E-2</v>
      </c>
      <c r="G7" s="191">
        <v>3.2904401602018157E-2</v>
      </c>
      <c r="H7" s="185" t="s">
        <v>913</v>
      </c>
      <c r="J7" s="185" t="s">
        <v>912</v>
      </c>
      <c r="K7" s="192">
        <f>(
VLOOKUP($J7,$A$2:$G$18,HLOOKUP(K$1,$B$1:$G$19,19,FALSE)+1,FALSE)
-
VLOOKUP($J7,'Ergebnisse Basisszenario'!$A$1:$H$21,HLOOKUP(K$1,'Ergebnisse Basisszenario'!$B$1:$G$21,21,FALSE)+1,FALSE)
)
/
VLOOKUP($J7,'Ergebnisse Basisszenario'!$A$1:$H$21,HLOOKUP(K$1,'Ergebnisse Basisszenario'!$B$1:$G$21,21,FALSE)+1,FALSE)</f>
        <v>-0.5268902180538535</v>
      </c>
      <c r="L7" s="192">
        <f>(
VLOOKUP($J7,$A$2:$G$18,HLOOKUP(L$1,$B$1:$G$19,19,FALSE)+1,FALSE)
-
VLOOKUP($J7,'Ergebnisse Basisszenario'!$A$1:$H$21,HLOOKUP(L$1,'Ergebnisse Basisszenario'!$B$1:$G$21,21,FALSE)+1,FALSE)
)
/
VLOOKUP($J7,'Ergebnisse Basisszenario'!$A$1:$H$21,HLOOKUP(L$1,'Ergebnisse Basisszenario'!$B$1:$G$21,21,FALSE)+1,FALSE)</f>
        <v>-0.41470056286739854</v>
      </c>
      <c r="M7" s="192">
        <f>(
VLOOKUP($J7,$A$2:$G$18,HLOOKUP(M$1,$B$1:$G$19,19,FALSE)+1,FALSE)
-
VLOOKUP($J7,'Ergebnisse Basisszenario'!$A$1:$H$21,HLOOKUP(M$1,'Ergebnisse Basisszenario'!$B$1:$G$21,21,FALSE)+1,FALSE)
)
/
VLOOKUP($J7,'Ergebnisse Basisszenario'!$A$1:$H$21,HLOOKUP(M$1,'Ergebnisse Basisszenario'!$B$1:$G$21,21,FALSE)+1,FALSE)</f>
        <v>-0.39978840974917484</v>
      </c>
      <c r="N7" s="192">
        <f>(
VLOOKUP($J7,$A$2:$G$18,HLOOKUP(N$1,$B$1:$G$19,19,FALSE)+1,FALSE)
-
VLOOKUP($J7,'Ergebnisse Basisszenario'!$A$1:$H$21,HLOOKUP(N$1,'Ergebnisse Basisszenario'!$B$1:$G$21,21,FALSE)+1,FALSE)
)
/
VLOOKUP($J7,'Ergebnisse Basisszenario'!$A$1:$H$21,HLOOKUP(N$1,'Ergebnisse Basisszenario'!$B$1:$G$21,21,FALSE)+1,FALSE)</f>
        <v>-0.41541855347129353</v>
      </c>
      <c r="O7" s="192">
        <f>(
VLOOKUP($J7,$A$2:$G$18,HLOOKUP(O$1,$B$1:$G$19,19,FALSE)+1,FALSE)
-
VLOOKUP($J7,'Ergebnisse Basisszenario'!$A$1:$H$21,HLOOKUP(O$1,'Ergebnisse Basisszenario'!$B$1:$G$21,21,FALSE)+1,FALSE)
)
/
VLOOKUP($J7,'Ergebnisse Basisszenario'!$A$1:$H$21,HLOOKUP(O$1,'Ergebnisse Basisszenario'!$B$1:$G$21,21,FALSE)+1,FALSE)</f>
        <v>-0.38734887250080541</v>
      </c>
      <c r="P7" s="192">
        <f>(
VLOOKUP($J7,$A$2:$G$18,HLOOKUP(P$1,$B$1:$G$19,19,FALSE)+1,FALSE)
-
VLOOKUP($J7,'Ergebnisse Basisszenario'!$A$1:$H$21,HLOOKUP(P$1,'Ergebnisse Basisszenario'!$B$1:$G$21,21,FALSE)+1,FALSE)
)
/
VLOOKUP($J7,'Ergebnisse Basisszenario'!$A$1:$H$21,HLOOKUP(P$1,'Ergebnisse Basisszenario'!$B$1:$G$21,21,FALSE)+1,FALSE)</f>
        <v>-0.42509503268968007</v>
      </c>
      <c r="R7" s="185" t="s">
        <v>912</v>
      </c>
      <c r="S7" s="185" t="b">
        <f>IF(
IF((VLOOKUP($R7,$A$2:$G$18,HLOOKUP(S$1,$B$1:$G$19,19,FALSE)+1,FALSE)-VLOOKUP($R7,$A$2:$G$18,HLOOKUP(S$1,$B$1:$G$19,19,FALSE)+2,FALSE))&lt;0,TRUE,FALSE)
=
IF((VLOOKUP($R7,'Ergebnisse Basisszenario'!$A$2:$G$20,HLOOKUP(S$1,'Ergebnisse Basisszenario'!$B$1:$G$21,21,FALSE)+1,FALSE)-VLOOKUP($R7,'Ergebnisse Basisszenario'!$A$2:$G$20,HLOOKUP(S$1,'Ergebnisse Basisszenario'!$B$1:$G$21,21,FALSE)+2,FALSE))&lt;0,TRUE,FALSE),
TRUE,FALSE)</f>
        <v>1</v>
      </c>
      <c r="T7" s="185" t="b">
        <f>IF(
IF((VLOOKUP($R7,$A$2:$G$18,HLOOKUP(T$1,$B$1:$G$19,19,FALSE)+1,FALSE)-VLOOKUP($R7,$A$2:$G$18,HLOOKUP(T$1,$B$1:$G$19,19,FALSE)+2,FALSE))&lt;0,TRUE,FALSE)
=
IF((VLOOKUP($R7,'Ergebnisse Basisszenario'!$A$2:$G$20,HLOOKUP(T$1,'Ergebnisse Basisszenario'!$B$1:$G$21,21,FALSE)+1,FALSE)-VLOOKUP($R7,'Ergebnisse Basisszenario'!$A$2:$G$20,HLOOKUP(T$1,'Ergebnisse Basisszenario'!$B$1:$G$21,21,FALSE)+2,FALSE))&lt;0,TRUE,FALSE),
TRUE,FALSE)</f>
        <v>1</v>
      </c>
      <c r="U7" s="185" t="b">
        <f>IF(
IF((VLOOKUP($R7,$A$2:$G$18,HLOOKUP(U$1,$B$1:$G$19,19,FALSE)+1,FALSE)-VLOOKUP($R7,$A$2:$G$18,HLOOKUP(U$1,$B$1:$G$19,19,FALSE)+2,FALSE))&lt;0,TRUE,FALSE)
=
IF((VLOOKUP($R7,'Ergebnisse Basisszenario'!$A$2:$G$20,HLOOKUP(U$1,'Ergebnisse Basisszenario'!$B$1:$G$21,21,FALSE)+1,FALSE)-VLOOKUP($R7,'Ergebnisse Basisszenario'!$A$2:$G$20,HLOOKUP(U$1,'Ergebnisse Basisszenario'!$B$1:$G$21,21,FALSE)+2,FALSE))&lt;0,TRUE,FALSE),
TRUE,FALSE)</f>
        <v>1</v>
      </c>
    </row>
    <row r="8" spans="1:21" x14ac:dyDescent="0.3">
      <c r="A8" s="185" t="s">
        <v>914</v>
      </c>
      <c r="B8" s="191">
        <v>4.7229055470329011E-2</v>
      </c>
      <c r="C8" s="191">
        <v>2.6613268847794819E-2</v>
      </c>
      <c r="D8" s="191">
        <v>3.3723203459168558E-2</v>
      </c>
      <c r="E8" s="191">
        <v>2.8838347625932639E-2</v>
      </c>
      <c r="F8" s="191">
        <v>0.1404439747939222</v>
      </c>
      <c r="G8" s="191">
        <v>4.0918623868466418E-2</v>
      </c>
      <c r="H8" s="185" t="s">
        <v>915</v>
      </c>
      <c r="J8" s="185" t="s">
        <v>914</v>
      </c>
      <c r="K8" s="192">
        <f>(
VLOOKUP($J8,$A$2:$G$18,HLOOKUP(K$1,$B$1:$G$19,19,FALSE)+1,FALSE)
-
VLOOKUP($J8,'Ergebnisse Basisszenario'!$A$1:$H$21,HLOOKUP(K$1,'Ergebnisse Basisszenario'!$B$1:$G$21,21,FALSE)+1,FALSE)
)
/
VLOOKUP($J8,'Ergebnisse Basisszenario'!$A$1:$H$21,HLOOKUP(K$1,'Ergebnisse Basisszenario'!$B$1:$G$21,21,FALSE)+1,FALSE)</f>
        <v>-0.51378614606893003</v>
      </c>
      <c r="L8" s="192">
        <f>(
VLOOKUP($J8,$A$2:$G$18,HLOOKUP(L$1,$B$1:$G$19,19,FALSE)+1,FALSE)
-
VLOOKUP($J8,'Ergebnisse Basisszenario'!$A$1:$H$21,HLOOKUP(L$1,'Ergebnisse Basisszenario'!$B$1:$G$21,21,FALSE)+1,FALSE)
)
/
VLOOKUP($J8,'Ergebnisse Basisszenario'!$A$1:$H$21,HLOOKUP(L$1,'Ergebnisse Basisszenario'!$B$1:$G$21,21,FALSE)+1,FALSE)</f>
        <v>-0.16084802259962261</v>
      </c>
      <c r="M8" s="192">
        <f>(
VLOOKUP($J8,$A$2:$G$18,HLOOKUP(M$1,$B$1:$G$19,19,FALSE)+1,FALSE)
-
VLOOKUP($J8,'Ergebnisse Basisszenario'!$A$1:$H$21,HLOOKUP(M$1,'Ergebnisse Basisszenario'!$B$1:$G$21,21,FALSE)+1,FALSE)
)
/
VLOOKUP($J8,'Ergebnisse Basisszenario'!$A$1:$H$21,HLOOKUP(M$1,'Ergebnisse Basisszenario'!$B$1:$G$21,21,FALSE)+1,FALSE)</f>
        <v>-0.34042376119796625</v>
      </c>
      <c r="N8" s="192">
        <f>(
VLOOKUP($J8,$A$2:$G$18,HLOOKUP(N$1,$B$1:$G$19,19,FALSE)+1,FALSE)
-
VLOOKUP($J8,'Ergebnisse Basisszenario'!$A$1:$H$21,HLOOKUP(N$1,'Ergebnisse Basisszenario'!$B$1:$G$21,21,FALSE)+1,FALSE)
)
/
VLOOKUP($J8,'Ergebnisse Basisszenario'!$A$1:$H$21,HLOOKUP(N$1,'Ergebnisse Basisszenario'!$B$1:$G$21,21,FALSE)+1,FALSE)</f>
        <v>-0.16423883528422475</v>
      </c>
      <c r="O8" s="192">
        <f>(
VLOOKUP($J8,$A$2:$G$18,HLOOKUP(O$1,$B$1:$G$19,19,FALSE)+1,FALSE)
-
VLOOKUP($J8,'Ergebnisse Basisszenario'!$A$1:$H$21,HLOOKUP(O$1,'Ergebnisse Basisszenario'!$B$1:$G$21,21,FALSE)+1,FALSE)
)
/
VLOOKUP($J8,'Ergebnisse Basisszenario'!$A$1:$H$21,HLOOKUP(O$1,'Ergebnisse Basisszenario'!$B$1:$G$21,21,FALSE)+1,FALSE)</f>
        <v>-0.19240029332754821</v>
      </c>
      <c r="P8" s="192">
        <f>(
VLOOKUP($J8,$A$2:$G$18,HLOOKUP(P$1,$B$1:$G$19,19,FALSE)+1,FALSE)
-
VLOOKUP($J8,'Ergebnisse Basisszenario'!$A$1:$H$21,HLOOKUP(P$1,'Ergebnisse Basisszenario'!$B$1:$G$21,21,FALSE)+1,FALSE)
)
/
VLOOKUP($J8,'Ergebnisse Basisszenario'!$A$1:$H$21,HLOOKUP(P$1,'Ergebnisse Basisszenario'!$B$1:$G$21,21,FALSE)+1,FALSE)</f>
        <v>-0.18025026531125679</v>
      </c>
      <c r="R8" s="185" t="s">
        <v>914</v>
      </c>
      <c r="S8" s="185" t="b">
        <f>IF(
IF((VLOOKUP($R8,$A$2:$G$18,HLOOKUP(S$1,$B$1:$G$19,19,FALSE)+1,FALSE)-VLOOKUP($R8,$A$2:$G$18,HLOOKUP(S$1,$B$1:$G$19,19,FALSE)+2,FALSE))&lt;0,TRUE,FALSE)
=
IF((VLOOKUP($R8,'Ergebnisse Basisszenario'!$A$2:$G$20,HLOOKUP(S$1,'Ergebnisse Basisszenario'!$B$1:$G$21,21,FALSE)+1,FALSE)-VLOOKUP($R8,'Ergebnisse Basisszenario'!$A$2:$G$20,HLOOKUP(S$1,'Ergebnisse Basisszenario'!$B$1:$G$21,21,FALSE)+2,FALSE))&lt;0,TRUE,FALSE),
TRUE,FALSE)</f>
        <v>1</v>
      </c>
      <c r="T8" s="185" t="b">
        <f>IF(
IF((VLOOKUP($R8,$A$2:$G$18,HLOOKUP(T$1,$B$1:$G$19,19,FALSE)+1,FALSE)-VLOOKUP($R8,$A$2:$G$18,HLOOKUP(T$1,$B$1:$G$19,19,FALSE)+2,FALSE))&lt;0,TRUE,FALSE)
=
IF((VLOOKUP($R8,'Ergebnisse Basisszenario'!$A$2:$G$20,HLOOKUP(T$1,'Ergebnisse Basisszenario'!$B$1:$G$21,21,FALSE)+1,FALSE)-VLOOKUP($R8,'Ergebnisse Basisszenario'!$A$2:$G$20,HLOOKUP(T$1,'Ergebnisse Basisszenario'!$B$1:$G$21,21,FALSE)+2,FALSE))&lt;0,TRUE,FALSE),
TRUE,FALSE)</f>
        <v>1</v>
      </c>
      <c r="U8" s="185" t="b">
        <f>IF(
IF((VLOOKUP($R8,$A$2:$G$18,HLOOKUP(U$1,$B$1:$G$19,19,FALSE)+1,FALSE)-VLOOKUP($R8,$A$2:$G$18,HLOOKUP(U$1,$B$1:$G$19,19,FALSE)+2,FALSE))&lt;0,TRUE,FALSE)
=
IF((VLOOKUP($R8,'Ergebnisse Basisszenario'!$A$2:$G$20,HLOOKUP(U$1,'Ergebnisse Basisszenario'!$B$1:$G$21,21,FALSE)+1,FALSE)-VLOOKUP($R8,'Ergebnisse Basisszenario'!$A$2:$G$20,HLOOKUP(U$1,'Ergebnisse Basisszenario'!$B$1:$G$21,21,FALSE)+2,FALSE))&lt;0,TRUE,FALSE),
TRUE,FALSE)</f>
        <v>1</v>
      </c>
    </row>
    <row r="9" spans="1:21" x14ac:dyDescent="0.3">
      <c r="A9" s="185" t="s">
        <v>916</v>
      </c>
      <c r="B9" s="191">
        <v>0.46280725334419098</v>
      </c>
      <c r="C9" s="191">
        <v>0.25108704371767648</v>
      </c>
      <c r="D9" s="191">
        <v>0.32583598747352249</v>
      </c>
      <c r="E9" s="191">
        <v>0.26622560059165362</v>
      </c>
      <c r="F9" s="191">
        <v>1.321552383615163</v>
      </c>
      <c r="G9" s="191">
        <v>0.38170034914648993</v>
      </c>
      <c r="H9" s="185" t="s">
        <v>917</v>
      </c>
      <c r="J9" s="185" t="s">
        <v>916</v>
      </c>
      <c r="K9" s="192">
        <f>(
VLOOKUP($J9,$A$2:$G$18,HLOOKUP(K$1,$B$1:$G$19,19,FALSE)+1,FALSE)
-
VLOOKUP($J9,'Ergebnisse Basisszenario'!$A$1:$H$21,HLOOKUP(K$1,'Ergebnisse Basisszenario'!$B$1:$G$21,21,FALSE)+1,FALSE)
)
/
VLOOKUP($J9,'Ergebnisse Basisszenario'!$A$1:$H$21,HLOOKUP(K$1,'Ergebnisse Basisszenario'!$B$1:$G$21,21,FALSE)+1,FALSE)</f>
        <v>-0.47823293124179156</v>
      </c>
      <c r="L9" s="192">
        <f>(
VLOOKUP($J9,$A$2:$G$18,HLOOKUP(L$1,$B$1:$G$19,19,FALSE)+1,FALSE)
-
VLOOKUP($J9,'Ergebnisse Basisszenario'!$A$1:$H$21,HLOOKUP(L$1,'Ergebnisse Basisszenario'!$B$1:$G$21,21,FALSE)+1,FALSE)
)
/
VLOOKUP($J9,'Ergebnisse Basisszenario'!$A$1:$H$21,HLOOKUP(L$1,'Ergebnisse Basisszenario'!$B$1:$G$21,21,FALSE)+1,FALSE)</f>
        <v>-0.10997286052996869</v>
      </c>
      <c r="M9" s="192">
        <f>(
VLOOKUP($J9,$A$2:$G$18,HLOOKUP(M$1,$B$1:$G$19,19,FALSE)+1,FALSE)
-
VLOOKUP($J9,'Ergebnisse Basisszenario'!$A$1:$H$21,HLOOKUP(M$1,'Ergebnisse Basisszenario'!$B$1:$G$21,21,FALSE)+1,FALSE)
)
/
VLOOKUP($J9,'Ergebnisse Basisszenario'!$A$1:$H$21,HLOOKUP(M$1,'Ergebnisse Basisszenario'!$B$1:$G$21,21,FALSE)+1,FALSE)</f>
        <v>-0.35025029789186479</v>
      </c>
      <c r="N9" s="192">
        <f>(
VLOOKUP($J9,$A$2:$G$18,HLOOKUP(N$1,$B$1:$G$19,19,FALSE)+1,FALSE)
-
VLOOKUP($J9,'Ergebnisse Basisszenario'!$A$1:$H$21,HLOOKUP(N$1,'Ergebnisse Basisszenario'!$B$1:$G$21,21,FALSE)+1,FALSE)
)
/
VLOOKUP($J9,'Ergebnisse Basisszenario'!$A$1:$H$21,HLOOKUP(N$1,'Ergebnisse Basisszenario'!$B$1:$G$21,21,FALSE)+1,FALSE)</f>
        <v>-0.11462392112858359</v>
      </c>
      <c r="O9" s="192">
        <f>(
VLOOKUP($J9,$A$2:$G$18,HLOOKUP(O$1,$B$1:$G$19,19,FALSE)+1,FALSE)
-
VLOOKUP($J9,'Ergebnisse Basisszenario'!$A$1:$H$21,HLOOKUP(O$1,'Ergebnisse Basisszenario'!$B$1:$G$21,21,FALSE)+1,FALSE)
)
/
VLOOKUP($J9,'Ergebnisse Basisszenario'!$A$1:$H$21,HLOOKUP(O$1,'Ergebnisse Basisszenario'!$B$1:$G$21,21,FALSE)+1,FALSE)</f>
        <v>-0.16164537632225873</v>
      </c>
      <c r="P9" s="192">
        <f>(
VLOOKUP($J9,$A$2:$G$18,HLOOKUP(P$1,$B$1:$G$19,19,FALSE)+1,FALSE)
-
VLOOKUP($J9,'Ergebnisse Basisszenario'!$A$1:$H$21,HLOOKUP(P$1,'Ergebnisse Basisszenario'!$B$1:$G$21,21,FALSE)+1,FALSE)
)
/
VLOOKUP($J9,'Ergebnisse Basisszenario'!$A$1:$H$21,HLOOKUP(P$1,'Ergebnisse Basisszenario'!$B$1:$G$21,21,FALSE)+1,FALSE)</f>
        <v>-0.12538441355074517</v>
      </c>
      <c r="R9" s="185" t="s">
        <v>916</v>
      </c>
      <c r="S9" s="185" t="b">
        <f>IF(
IF((VLOOKUP($R9,$A$2:$G$18,HLOOKUP(S$1,$B$1:$G$19,19,FALSE)+1,FALSE)-VLOOKUP($R9,$A$2:$G$18,HLOOKUP(S$1,$B$1:$G$19,19,FALSE)+2,FALSE))&lt;0,TRUE,FALSE)
=
IF((VLOOKUP($R9,'Ergebnisse Basisszenario'!$A$2:$G$20,HLOOKUP(S$1,'Ergebnisse Basisszenario'!$B$1:$G$21,21,FALSE)+1,FALSE)-VLOOKUP($R9,'Ergebnisse Basisszenario'!$A$2:$G$20,HLOOKUP(S$1,'Ergebnisse Basisszenario'!$B$1:$G$21,21,FALSE)+2,FALSE))&lt;0,TRUE,FALSE),
TRUE,FALSE)</f>
        <v>1</v>
      </c>
      <c r="T9" s="185" t="b">
        <f>IF(
IF((VLOOKUP($R9,$A$2:$G$18,HLOOKUP(T$1,$B$1:$G$19,19,FALSE)+1,FALSE)-VLOOKUP($R9,$A$2:$G$18,HLOOKUP(T$1,$B$1:$G$19,19,FALSE)+2,FALSE))&lt;0,TRUE,FALSE)
=
IF((VLOOKUP($R9,'Ergebnisse Basisszenario'!$A$2:$G$20,HLOOKUP(T$1,'Ergebnisse Basisszenario'!$B$1:$G$21,21,FALSE)+1,FALSE)-VLOOKUP($R9,'Ergebnisse Basisszenario'!$A$2:$G$20,HLOOKUP(T$1,'Ergebnisse Basisszenario'!$B$1:$G$21,21,FALSE)+2,FALSE))&lt;0,TRUE,FALSE),
TRUE,FALSE)</f>
        <v>1</v>
      </c>
      <c r="U9" s="185" t="b">
        <f>IF(
IF((VLOOKUP($R9,$A$2:$G$18,HLOOKUP(U$1,$B$1:$G$19,19,FALSE)+1,FALSE)-VLOOKUP($R9,$A$2:$G$18,HLOOKUP(U$1,$B$1:$G$19,19,FALSE)+2,FALSE))&lt;0,TRUE,FALSE)
=
IF((VLOOKUP($R9,'Ergebnisse Basisszenario'!$A$2:$G$20,HLOOKUP(U$1,'Ergebnisse Basisszenario'!$B$1:$G$21,21,FALSE)+1,FALSE)-VLOOKUP($R9,'Ergebnisse Basisszenario'!$A$2:$G$20,HLOOKUP(U$1,'Ergebnisse Basisszenario'!$B$1:$G$21,21,FALSE)+2,FALSE))&lt;0,TRUE,FALSE),
TRUE,FALSE)</f>
        <v>1</v>
      </c>
    </row>
    <row r="10" spans="1:21" x14ac:dyDescent="0.3">
      <c r="A10" s="185" t="s">
        <v>918</v>
      </c>
      <c r="B10" s="191">
        <v>8.2756551737372055E-8</v>
      </c>
      <c r="C10" s="191">
        <v>2.4574385388311759E-8</v>
      </c>
      <c r="D10" s="191">
        <v>2.1687429196772069E-8</v>
      </c>
      <c r="E10" s="191">
        <v>2.2618463341381449E-8</v>
      </c>
      <c r="F10" s="191">
        <v>3.965185313422557E-7</v>
      </c>
      <c r="G10" s="191">
        <v>3.4139243379290607E-8</v>
      </c>
      <c r="H10" s="185" t="s">
        <v>919</v>
      </c>
      <c r="J10" s="185" t="s">
        <v>918</v>
      </c>
      <c r="K10" s="192">
        <f>(
VLOOKUP($J10,$A$2:$G$18,HLOOKUP(K$1,$B$1:$G$19,19,FALSE)+1,FALSE)
-
VLOOKUP($J10,'Ergebnisse Basisszenario'!$A$1:$H$21,HLOOKUP(K$1,'Ergebnisse Basisszenario'!$B$1:$G$21,21,FALSE)+1,FALSE)
)
/
VLOOKUP($J10,'Ergebnisse Basisszenario'!$A$1:$H$21,HLOOKUP(K$1,'Ergebnisse Basisszenario'!$B$1:$G$21,21,FALSE)+1,FALSE)</f>
        <v>-0.80550169398008109</v>
      </c>
      <c r="L10" s="192">
        <f>(
VLOOKUP($J10,$A$2:$G$18,HLOOKUP(L$1,$B$1:$G$19,19,FALSE)+1,FALSE)
-
VLOOKUP($J10,'Ergebnisse Basisszenario'!$A$1:$H$21,HLOOKUP(L$1,'Ergebnisse Basisszenario'!$B$1:$G$21,21,FALSE)+1,FALSE)
)
/
VLOOKUP($J10,'Ergebnisse Basisszenario'!$A$1:$H$21,HLOOKUP(L$1,'Ergebnisse Basisszenario'!$B$1:$G$21,21,FALSE)+1,FALSE)</f>
        <v>-2.6934279029118983E-2</v>
      </c>
      <c r="M10" s="192">
        <f>(
VLOOKUP($J10,$A$2:$G$18,HLOOKUP(M$1,$B$1:$G$19,19,FALSE)+1,FALSE)
-
VLOOKUP($J10,'Ergebnisse Basisszenario'!$A$1:$H$21,HLOOKUP(M$1,'Ergebnisse Basisszenario'!$B$1:$G$21,21,FALSE)+1,FALSE)
)
/
VLOOKUP($J10,'Ergebnisse Basisszenario'!$A$1:$H$21,HLOOKUP(M$1,'Ergebnisse Basisszenario'!$B$1:$G$21,21,FALSE)+1,FALSE)</f>
        <v>-0.19756407562617584</v>
      </c>
      <c r="N10" s="192">
        <f>(
VLOOKUP($J10,$A$2:$G$18,HLOOKUP(N$1,$B$1:$G$19,19,FALSE)+1,FALSE)
-
VLOOKUP($J10,'Ergebnisse Basisszenario'!$A$1:$H$21,HLOOKUP(N$1,'Ergebnisse Basisszenario'!$B$1:$G$21,21,FALSE)+1,FALSE)
)
/
VLOOKUP($J10,'Ergebnisse Basisszenario'!$A$1:$H$21,HLOOKUP(N$1,'Ergebnisse Basisszenario'!$B$1:$G$21,21,FALSE)+1,FALSE)</f>
        <v>-3.232964266062513E-2</v>
      </c>
      <c r="O10" s="192">
        <f>(
VLOOKUP($J10,$A$2:$G$18,HLOOKUP(O$1,$B$1:$G$19,19,FALSE)+1,FALSE)
-
VLOOKUP($J10,'Ergebnisse Basisszenario'!$A$1:$H$21,HLOOKUP(O$1,'Ergebnisse Basisszenario'!$B$1:$G$21,21,FALSE)+1,FALSE)
)
/
VLOOKUP($J10,'Ergebnisse Basisszenario'!$A$1:$H$21,HLOOKUP(O$1,'Ergebnisse Basisszenario'!$B$1:$G$21,21,FALSE)+1,FALSE)</f>
        <v>-0.20663086466600808</v>
      </c>
      <c r="P10" s="192">
        <f>(
VLOOKUP($J10,$A$2:$G$18,HLOOKUP(P$1,$B$1:$G$19,19,FALSE)+1,FALSE)
-
VLOOKUP($J10,'Ergebnisse Basisszenario'!$A$1:$H$21,HLOOKUP(P$1,'Ergebnisse Basisszenario'!$B$1:$G$21,21,FALSE)+1,FALSE)
)
/
VLOOKUP($J10,'Ergebnisse Basisszenario'!$A$1:$H$21,HLOOKUP(P$1,'Ergebnisse Basisszenario'!$B$1:$G$21,21,FALSE)+1,FALSE)</f>
        <v>-3.3949554664754633E-2</v>
      </c>
      <c r="R10" s="185" t="s">
        <v>918</v>
      </c>
      <c r="S10" s="185" t="b">
        <f>IF(
IF((VLOOKUP($R10,$A$2:$G$18,HLOOKUP(S$1,$B$1:$G$19,19,FALSE)+1,FALSE)-VLOOKUP($R10,$A$2:$G$18,HLOOKUP(S$1,$B$1:$G$19,19,FALSE)+2,FALSE))&lt;0,TRUE,FALSE)
=
IF((VLOOKUP($R10,'Ergebnisse Basisszenario'!$A$2:$G$20,HLOOKUP(S$1,'Ergebnisse Basisszenario'!$B$1:$G$21,21,FALSE)+1,FALSE)-VLOOKUP($R10,'Ergebnisse Basisszenario'!$A$2:$G$20,HLOOKUP(S$1,'Ergebnisse Basisszenario'!$B$1:$G$21,21,FALSE)+2,FALSE))&lt;0,TRUE,FALSE),
TRUE,FALSE)</f>
        <v>1</v>
      </c>
      <c r="T10" s="185" t="b">
        <f>IF(
IF((VLOOKUP($R10,$A$2:$G$18,HLOOKUP(T$1,$B$1:$G$19,19,FALSE)+1,FALSE)-VLOOKUP($R10,$A$2:$G$18,HLOOKUP(T$1,$B$1:$G$19,19,FALSE)+2,FALSE))&lt;0,TRUE,FALSE)
=
IF((VLOOKUP($R10,'Ergebnisse Basisszenario'!$A$2:$G$20,HLOOKUP(T$1,'Ergebnisse Basisszenario'!$B$1:$G$21,21,FALSE)+1,FALSE)-VLOOKUP($R10,'Ergebnisse Basisszenario'!$A$2:$G$20,HLOOKUP(T$1,'Ergebnisse Basisszenario'!$B$1:$G$21,21,FALSE)+2,FALSE))&lt;0,TRUE,FALSE),
TRUE,FALSE)</f>
        <v>0</v>
      </c>
      <c r="U10" s="185" t="b">
        <f>IF(
IF((VLOOKUP($R10,$A$2:$G$18,HLOOKUP(U$1,$B$1:$G$19,19,FALSE)+1,FALSE)-VLOOKUP($R10,$A$2:$G$18,HLOOKUP(U$1,$B$1:$G$19,19,FALSE)+2,FALSE))&lt;0,TRUE,FALSE)
=
IF((VLOOKUP($R10,'Ergebnisse Basisszenario'!$A$2:$G$20,HLOOKUP(U$1,'Ergebnisse Basisszenario'!$B$1:$G$21,21,FALSE)+1,FALSE)-VLOOKUP($R10,'Ergebnisse Basisszenario'!$A$2:$G$20,HLOOKUP(U$1,'Ergebnisse Basisszenario'!$B$1:$G$21,21,FALSE)+2,FALSE))&lt;0,TRUE,FALSE),
TRUE,FALSE)</f>
        <v>1</v>
      </c>
    </row>
    <row r="11" spans="1:21" x14ac:dyDescent="0.3">
      <c r="A11" s="185" t="s">
        <v>920</v>
      </c>
      <c r="B11" s="191">
        <v>1.406483010113624E-6</v>
      </c>
      <c r="C11" s="191">
        <v>4.9145973494784101E-7</v>
      </c>
      <c r="D11" s="191">
        <v>4.594522442712327E-7</v>
      </c>
      <c r="E11" s="191">
        <v>5.076547041075583E-7</v>
      </c>
      <c r="F11" s="191">
        <v>2.84840365615471E-6</v>
      </c>
      <c r="G11" s="191">
        <v>7.5470362877527187E-7</v>
      </c>
      <c r="H11" s="185" t="s">
        <v>919</v>
      </c>
      <c r="J11" s="185" t="s">
        <v>920</v>
      </c>
      <c r="K11" s="192">
        <f>(
VLOOKUP($J11,$A$2:$G$18,HLOOKUP(K$1,$B$1:$G$19,19,FALSE)+1,FALSE)
-
VLOOKUP($J11,'Ergebnisse Basisszenario'!$A$1:$H$21,HLOOKUP(K$1,'Ergebnisse Basisszenario'!$B$1:$G$21,21,FALSE)+1,FALSE)
)
/
VLOOKUP($J11,'Ergebnisse Basisszenario'!$A$1:$H$21,HLOOKUP(K$1,'Ergebnisse Basisszenario'!$B$1:$G$21,21,FALSE)+1,FALSE)</f>
        <v>-0.35269628159823546</v>
      </c>
      <c r="L11" s="192">
        <f>(
VLOOKUP($J11,$A$2:$G$18,HLOOKUP(L$1,$B$1:$G$19,19,FALSE)+1,FALSE)
-
VLOOKUP($J11,'Ergebnisse Basisszenario'!$A$1:$H$21,HLOOKUP(L$1,'Ergebnisse Basisszenario'!$B$1:$G$21,21,FALSE)+1,FALSE)
)
/
VLOOKUP($J11,'Ergebnisse Basisszenario'!$A$1:$H$21,HLOOKUP(L$1,'Ergebnisse Basisszenario'!$B$1:$G$21,21,FALSE)+1,FALSE)</f>
        <v>-3.7334925746063921E-3</v>
      </c>
      <c r="M11" s="192">
        <f>(
VLOOKUP($J11,$A$2:$G$18,HLOOKUP(M$1,$B$1:$G$19,19,FALSE)+1,FALSE)
-
VLOOKUP($J11,'Ergebnisse Basisszenario'!$A$1:$H$21,HLOOKUP(M$1,'Ergebnisse Basisszenario'!$B$1:$G$21,21,FALSE)+1,FALSE)
)
/
VLOOKUP($J11,'Ergebnisse Basisszenario'!$A$1:$H$21,HLOOKUP(M$1,'Ergebnisse Basisszenario'!$B$1:$G$21,21,FALSE)+1,FALSE)</f>
        <v>-0.2706108951848995</v>
      </c>
      <c r="N11" s="192">
        <f>(
VLOOKUP($J11,$A$2:$G$18,HLOOKUP(N$1,$B$1:$G$19,19,FALSE)+1,FALSE)
-
VLOOKUP($J11,'Ergebnisse Basisszenario'!$A$1:$H$21,HLOOKUP(N$1,'Ergebnisse Basisszenario'!$B$1:$G$21,21,FALSE)+1,FALSE)
)
/
VLOOKUP($J11,'Ergebnisse Basisszenario'!$A$1:$H$21,HLOOKUP(N$1,'Ergebnisse Basisszenario'!$B$1:$G$21,21,FALSE)+1,FALSE)</f>
        <v>-4.0142381663739301E-3</v>
      </c>
      <c r="O11" s="192">
        <f>(
VLOOKUP($J11,$A$2:$G$18,HLOOKUP(O$1,$B$1:$G$19,19,FALSE)+1,FALSE)
-
VLOOKUP($J11,'Ergebnisse Basisszenario'!$A$1:$H$21,HLOOKUP(O$1,'Ergebnisse Basisszenario'!$B$1:$G$21,21,FALSE)+1,FALSE)
)
/
VLOOKUP($J11,'Ergebnisse Basisszenario'!$A$1:$H$21,HLOOKUP(O$1,'Ergebnisse Basisszenario'!$B$1:$G$21,21,FALSE)+1,FALSE)</f>
        <v>-0.14040412931795315</v>
      </c>
      <c r="P11" s="192">
        <f>(
VLOOKUP($J11,$A$2:$G$18,HLOOKUP(P$1,$B$1:$G$19,19,FALSE)+1,FALSE)
-
VLOOKUP($J11,'Ergebnisse Basisszenario'!$A$1:$H$21,HLOOKUP(P$1,'Ergebnisse Basisszenario'!$B$1:$G$21,21,FALSE)+1,FALSE)
)
/
VLOOKUP($J11,'Ergebnisse Basisszenario'!$A$1:$H$21,HLOOKUP(P$1,'Ergebnisse Basisszenario'!$B$1:$G$21,21,FALSE)+1,FALSE)</f>
        <v>-4.285764506595565E-3</v>
      </c>
      <c r="R11" s="185" t="s">
        <v>920</v>
      </c>
      <c r="S11" s="185" t="b">
        <f>IF(
IF((VLOOKUP($R11,$A$2:$G$18,HLOOKUP(S$1,$B$1:$G$19,19,FALSE)+1,FALSE)-VLOOKUP($R11,$A$2:$G$18,HLOOKUP(S$1,$B$1:$G$19,19,FALSE)+2,FALSE))&lt;0,TRUE,FALSE)
=
IF((VLOOKUP($R11,'Ergebnisse Basisszenario'!$A$2:$G$20,HLOOKUP(S$1,'Ergebnisse Basisszenario'!$B$1:$G$21,21,FALSE)+1,FALSE)-VLOOKUP($R11,'Ergebnisse Basisszenario'!$A$2:$G$20,HLOOKUP(S$1,'Ergebnisse Basisszenario'!$B$1:$G$21,21,FALSE)+2,FALSE))&lt;0,TRUE,FALSE),
TRUE,FALSE)</f>
        <v>1</v>
      </c>
      <c r="T11" s="185" t="b">
        <f>IF(
IF((VLOOKUP($R11,$A$2:$G$18,HLOOKUP(T$1,$B$1:$G$19,19,FALSE)+1,FALSE)-VLOOKUP($R11,$A$2:$G$18,HLOOKUP(T$1,$B$1:$G$19,19,FALSE)+2,FALSE))&lt;0,TRUE,FALSE)
=
IF((VLOOKUP($R11,'Ergebnisse Basisszenario'!$A$2:$G$20,HLOOKUP(T$1,'Ergebnisse Basisszenario'!$B$1:$G$21,21,FALSE)+1,FALSE)-VLOOKUP($R11,'Ergebnisse Basisszenario'!$A$2:$G$20,HLOOKUP(T$1,'Ergebnisse Basisszenario'!$B$1:$G$21,21,FALSE)+2,FALSE))&lt;0,TRUE,FALSE),
TRUE,FALSE)</f>
        <v>0</v>
      </c>
      <c r="U11" s="185" t="b">
        <f>IF(
IF((VLOOKUP($R11,$A$2:$G$18,HLOOKUP(U$1,$B$1:$G$19,19,FALSE)+1,FALSE)-VLOOKUP($R11,$A$2:$G$18,HLOOKUP(U$1,$B$1:$G$19,19,FALSE)+2,FALSE))&lt;0,TRUE,FALSE)
=
IF((VLOOKUP($R11,'Ergebnisse Basisszenario'!$A$2:$G$20,HLOOKUP(U$1,'Ergebnisse Basisszenario'!$B$1:$G$21,21,FALSE)+1,FALSE)-VLOOKUP($R11,'Ergebnisse Basisszenario'!$A$2:$G$20,HLOOKUP(U$1,'Ergebnisse Basisszenario'!$B$1:$G$21,21,FALSE)+2,FALSE))&lt;0,TRUE,FALSE),
TRUE,FALSE)</f>
        <v>1</v>
      </c>
    </row>
    <row r="12" spans="1:21" x14ac:dyDescent="0.3">
      <c r="A12" s="185" t="s">
        <v>921</v>
      </c>
      <c r="B12" s="191">
        <v>3.3459111204274361</v>
      </c>
      <c r="C12" s="191">
        <v>2.762552247807279</v>
      </c>
      <c r="D12" s="191">
        <v>3.8236934904769329</v>
      </c>
      <c r="E12" s="191">
        <v>3.1687617060191582</v>
      </c>
      <c r="F12" s="191">
        <v>11.78027951700682</v>
      </c>
      <c r="G12" s="191">
        <v>4.6251634537655191</v>
      </c>
      <c r="H12" s="185" t="s">
        <v>922</v>
      </c>
      <c r="J12" s="185" t="s">
        <v>921</v>
      </c>
      <c r="K12" s="192">
        <f>(
VLOOKUP($J12,$A$2:$G$18,HLOOKUP(K$1,$B$1:$G$19,19,FALSE)+1,FALSE)
-
VLOOKUP($J12,'Ergebnisse Basisszenario'!$A$1:$H$21,HLOOKUP(K$1,'Ergebnisse Basisszenario'!$B$1:$G$21,21,FALSE)+1,FALSE)
)
/
VLOOKUP($J12,'Ergebnisse Basisszenario'!$A$1:$H$21,HLOOKUP(K$1,'Ergebnisse Basisszenario'!$B$1:$G$21,21,FALSE)+1,FALSE)</f>
        <v>-0.45756248033520147</v>
      </c>
      <c r="L12" s="192">
        <f>(
VLOOKUP($J12,$A$2:$G$18,HLOOKUP(L$1,$B$1:$G$19,19,FALSE)+1,FALSE)
-
VLOOKUP($J12,'Ergebnisse Basisszenario'!$A$1:$H$21,HLOOKUP(L$1,'Ergebnisse Basisszenario'!$B$1:$G$21,21,FALSE)+1,FALSE)
)
/
VLOOKUP($J12,'Ergebnisse Basisszenario'!$A$1:$H$21,HLOOKUP(L$1,'Ergebnisse Basisszenario'!$B$1:$G$21,21,FALSE)+1,FALSE)</f>
        <v>-0.37942534079917867</v>
      </c>
      <c r="M12" s="192">
        <f>(
VLOOKUP($J12,$A$2:$G$18,HLOOKUP(M$1,$B$1:$G$19,19,FALSE)+1,FALSE)
-
VLOOKUP($J12,'Ergebnisse Basisszenario'!$A$1:$H$21,HLOOKUP(M$1,'Ergebnisse Basisszenario'!$B$1:$G$21,21,FALSE)+1,FALSE)
)
/
VLOOKUP($J12,'Ergebnisse Basisszenario'!$A$1:$H$21,HLOOKUP(M$1,'Ergebnisse Basisszenario'!$B$1:$G$21,21,FALSE)+1,FALSE)</f>
        <v>-0.29061099270071694</v>
      </c>
      <c r="N12" s="192">
        <f>(
VLOOKUP($J12,$A$2:$G$18,HLOOKUP(N$1,$B$1:$G$19,19,FALSE)+1,FALSE)
-
VLOOKUP($J12,'Ergebnisse Basisszenario'!$A$1:$H$21,HLOOKUP(N$1,'Ergebnisse Basisszenario'!$B$1:$G$21,21,FALSE)+1,FALSE)
)
/
VLOOKUP($J12,'Ergebnisse Basisszenario'!$A$1:$H$21,HLOOKUP(N$1,'Ergebnisse Basisszenario'!$B$1:$G$21,21,FALSE)+1,FALSE)</f>
        <v>-0.37192503620557416</v>
      </c>
      <c r="O12" s="192">
        <f>(
VLOOKUP($J12,$A$2:$G$18,HLOOKUP(O$1,$B$1:$G$19,19,FALSE)+1,FALSE)
-
VLOOKUP($J12,'Ergebnisse Basisszenario'!$A$1:$H$21,HLOOKUP(O$1,'Ergebnisse Basisszenario'!$B$1:$G$21,21,FALSE)+1,FALSE)
)
/
VLOOKUP($J12,'Ergebnisse Basisszenario'!$A$1:$H$21,HLOOKUP(O$1,'Ergebnisse Basisszenario'!$B$1:$G$21,21,FALSE)+1,FALSE)</f>
        <v>-0.33805080980630514</v>
      </c>
      <c r="P12" s="192">
        <f>(
VLOOKUP($J12,$A$2:$G$18,HLOOKUP(P$1,$B$1:$G$19,19,FALSE)+1,FALSE)
-
VLOOKUP($J12,'Ergebnisse Basisszenario'!$A$1:$H$21,HLOOKUP(P$1,'Ergebnisse Basisszenario'!$B$1:$G$21,21,FALSE)+1,FALSE)
)
/
VLOOKUP($J12,'Ergebnisse Basisszenario'!$A$1:$H$21,HLOOKUP(P$1,'Ergebnisse Basisszenario'!$B$1:$G$21,21,FALSE)+1,FALSE)</f>
        <v>-0.39176708844716779</v>
      </c>
      <c r="R12" s="185" t="s">
        <v>921</v>
      </c>
      <c r="S12" s="185" t="b">
        <f>IF(
IF((VLOOKUP($R12,$A$2:$G$18,HLOOKUP(S$1,$B$1:$G$19,19,FALSE)+1,FALSE)-VLOOKUP($R12,$A$2:$G$18,HLOOKUP(S$1,$B$1:$G$19,19,FALSE)+2,FALSE))&lt;0,TRUE,FALSE)
=
IF((VLOOKUP($R12,'Ergebnisse Basisszenario'!$A$2:$G$20,HLOOKUP(S$1,'Ergebnisse Basisszenario'!$B$1:$G$21,21,FALSE)+1,FALSE)-VLOOKUP($R12,'Ergebnisse Basisszenario'!$A$2:$G$20,HLOOKUP(S$1,'Ergebnisse Basisszenario'!$B$1:$G$21,21,FALSE)+2,FALSE))&lt;0,TRUE,FALSE),
TRUE,FALSE)</f>
        <v>1</v>
      </c>
      <c r="T12" s="185" t="b">
        <f>IF(
IF((VLOOKUP($R12,$A$2:$G$18,HLOOKUP(T$1,$B$1:$G$19,19,FALSE)+1,FALSE)-VLOOKUP($R12,$A$2:$G$18,HLOOKUP(T$1,$B$1:$G$19,19,FALSE)+2,FALSE))&lt;0,TRUE,FALSE)
=
IF((VLOOKUP($R12,'Ergebnisse Basisszenario'!$A$2:$G$20,HLOOKUP(T$1,'Ergebnisse Basisszenario'!$B$1:$G$21,21,FALSE)+1,FALSE)-VLOOKUP($R12,'Ergebnisse Basisszenario'!$A$2:$G$20,HLOOKUP(T$1,'Ergebnisse Basisszenario'!$B$1:$G$21,21,FALSE)+2,FALSE))&lt;0,TRUE,FALSE),
TRUE,FALSE)</f>
        <v>1</v>
      </c>
      <c r="U12" s="185" t="b">
        <f>IF(
IF((VLOOKUP($R12,$A$2:$G$18,HLOOKUP(U$1,$B$1:$G$19,19,FALSE)+1,FALSE)-VLOOKUP($R12,$A$2:$G$18,HLOOKUP(U$1,$B$1:$G$19,19,FALSE)+2,FALSE))&lt;0,TRUE,FALSE)
=
IF((VLOOKUP($R12,'Ergebnisse Basisszenario'!$A$2:$G$20,HLOOKUP(U$1,'Ergebnisse Basisszenario'!$B$1:$G$21,21,FALSE)+1,FALSE)-VLOOKUP($R12,'Ergebnisse Basisszenario'!$A$2:$G$20,HLOOKUP(U$1,'Ergebnisse Basisszenario'!$B$1:$G$21,21,FALSE)+2,FALSE))&lt;0,TRUE,FALSE),
TRUE,FALSE)</f>
        <v>1</v>
      </c>
    </row>
    <row r="13" spans="1:21" x14ac:dyDescent="0.3">
      <c r="A13" s="185" t="s">
        <v>923</v>
      </c>
      <c r="B13" s="191">
        <v>3060.469683701941</v>
      </c>
      <c r="C13" s="191">
        <v>121.5983732225374</v>
      </c>
      <c r="D13" s="191">
        <v>157.14070682303469</v>
      </c>
      <c r="E13" s="191">
        <v>108.3444870111075</v>
      </c>
      <c r="F13" s="191">
        <v>6213.3214038938231</v>
      </c>
      <c r="G13" s="191">
        <v>158.02224388411099</v>
      </c>
      <c r="H13" s="185" t="s">
        <v>924</v>
      </c>
      <c r="J13" s="185" t="s">
        <v>923</v>
      </c>
      <c r="K13" s="192">
        <f>(
VLOOKUP($J13,$A$2:$G$18,HLOOKUP(K$1,$B$1:$G$19,19,FALSE)+1,FALSE)
-
VLOOKUP($J13,'Ergebnisse Basisszenario'!$A$1:$H$21,HLOOKUP(K$1,'Ergebnisse Basisszenario'!$B$1:$G$21,21,FALSE)+1,FALSE)
)
/
VLOOKUP($J13,'Ergebnisse Basisszenario'!$A$1:$H$21,HLOOKUP(K$1,'Ergebnisse Basisszenario'!$B$1:$G$21,21,FALSE)+1,FALSE)</f>
        <v>-6.3774942934880993E-2</v>
      </c>
      <c r="L13" s="192">
        <f>(
VLOOKUP($J13,$A$2:$G$18,HLOOKUP(L$1,$B$1:$G$19,19,FALSE)+1,FALSE)
-
VLOOKUP($J13,'Ergebnisse Basisszenario'!$A$1:$H$21,HLOOKUP(L$1,'Ergebnisse Basisszenario'!$B$1:$G$21,21,FALSE)+1,FALSE)
)
/
VLOOKUP($J13,'Ergebnisse Basisszenario'!$A$1:$H$21,HLOOKUP(L$1,'Ergebnisse Basisszenario'!$B$1:$G$21,21,FALSE)+1,FALSE)</f>
        <v>-0.15605293475894147</v>
      </c>
      <c r="M13" s="192">
        <f>(
VLOOKUP($J13,$A$2:$G$18,HLOOKUP(M$1,$B$1:$G$19,19,FALSE)+1,FALSE)
-
VLOOKUP($J13,'Ergebnisse Basisszenario'!$A$1:$H$21,HLOOKUP(M$1,'Ergebnisse Basisszenario'!$B$1:$G$21,21,FALSE)+1,FALSE)
)
/
VLOOKUP($J13,'Ergebnisse Basisszenario'!$A$1:$H$21,HLOOKUP(M$1,'Ergebnisse Basisszenario'!$B$1:$G$21,21,FALSE)+1,FALSE)</f>
        <v>-0.22376937346977224</v>
      </c>
      <c r="N13" s="192">
        <f>(
VLOOKUP($J13,$A$2:$G$18,HLOOKUP(N$1,$B$1:$G$19,19,FALSE)+1,FALSE)
-
VLOOKUP($J13,'Ergebnisse Basisszenario'!$A$1:$H$21,HLOOKUP(N$1,'Ergebnisse Basisszenario'!$B$1:$G$21,21,FALSE)+1,FALSE)
)
/
VLOOKUP($J13,'Ergebnisse Basisszenario'!$A$1:$H$21,HLOOKUP(N$1,'Ergebnisse Basisszenario'!$B$1:$G$21,21,FALSE)+1,FALSE)</f>
        <v>-0.18735639437135435</v>
      </c>
      <c r="O13" s="192">
        <f>(
VLOOKUP($J13,$A$2:$G$18,HLOOKUP(O$1,$B$1:$G$19,19,FALSE)+1,FALSE)
-
VLOOKUP($J13,'Ergebnisse Basisszenario'!$A$1:$H$21,HLOOKUP(O$1,'Ergebnisse Basisszenario'!$B$1:$G$21,21,FALSE)+1,FALSE)
)
/
VLOOKUP($J13,'Ergebnisse Basisszenario'!$A$1:$H$21,HLOOKUP(O$1,'Ergebnisse Basisszenario'!$B$1:$G$21,21,FALSE)+1,FALSE)</f>
        <v>-2.473228502669849E-2</v>
      </c>
      <c r="P13" s="192">
        <f>(
VLOOKUP($J13,$A$2:$G$18,HLOOKUP(P$1,$B$1:$G$19,19,FALSE)+1,FALSE)
-
VLOOKUP($J13,'Ergebnisse Basisszenario'!$A$1:$H$21,HLOOKUP(P$1,'Ergebnisse Basisszenario'!$B$1:$G$21,21,FALSE)+1,FALSE)
)
/
VLOOKUP($J13,'Ergebnisse Basisszenario'!$A$1:$H$21,HLOOKUP(P$1,'Ergebnisse Basisszenario'!$B$1:$G$21,21,FALSE)+1,FALSE)</f>
        <v>-0.20061543885967859</v>
      </c>
      <c r="R13" s="185" t="s">
        <v>923</v>
      </c>
      <c r="S13" s="185" t="b">
        <f>IF(
IF((VLOOKUP($R13,$A$2:$G$18,HLOOKUP(S$1,$B$1:$G$19,19,FALSE)+1,FALSE)-VLOOKUP($R13,$A$2:$G$18,HLOOKUP(S$1,$B$1:$G$19,19,FALSE)+2,FALSE))&lt;0,TRUE,FALSE)
=
IF((VLOOKUP($R13,'Ergebnisse Basisszenario'!$A$2:$G$20,HLOOKUP(S$1,'Ergebnisse Basisszenario'!$B$1:$G$21,21,FALSE)+1,FALSE)-VLOOKUP($R13,'Ergebnisse Basisszenario'!$A$2:$G$20,HLOOKUP(S$1,'Ergebnisse Basisszenario'!$B$1:$G$21,21,FALSE)+2,FALSE))&lt;0,TRUE,FALSE),
TRUE,FALSE)</f>
        <v>1</v>
      </c>
      <c r="T13" s="185" t="b">
        <f>IF(
IF((VLOOKUP($R13,$A$2:$G$18,HLOOKUP(T$1,$B$1:$G$19,19,FALSE)+1,FALSE)-VLOOKUP($R13,$A$2:$G$18,HLOOKUP(T$1,$B$1:$G$19,19,FALSE)+2,FALSE))&lt;0,TRUE,FALSE)
=
IF((VLOOKUP($R13,'Ergebnisse Basisszenario'!$A$2:$G$20,HLOOKUP(T$1,'Ergebnisse Basisszenario'!$B$1:$G$21,21,FALSE)+1,FALSE)-VLOOKUP($R13,'Ergebnisse Basisszenario'!$A$2:$G$20,HLOOKUP(T$1,'Ergebnisse Basisszenario'!$B$1:$G$21,21,FALSE)+2,FALSE))&lt;0,TRUE,FALSE),
TRUE,FALSE)</f>
        <v>1</v>
      </c>
      <c r="U13" s="185" t="b">
        <f>IF(
IF((VLOOKUP($R13,$A$2:$G$18,HLOOKUP(U$1,$B$1:$G$19,19,FALSE)+1,FALSE)-VLOOKUP($R13,$A$2:$G$18,HLOOKUP(U$1,$B$1:$G$19,19,FALSE)+2,FALSE))&lt;0,TRUE,FALSE)
=
IF((VLOOKUP($R13,'Ergebnisse Basisszenario'!$A$2:$G$20,HLOOKUP(U$1,'Ergebnisse Basisszenario'!$B$1:$G$21,21,FALSE)+1,FALSE)-VLOOKUP($R13,'Ergebnisse Basisszenario'!$A$2:$G$20,HLOOKUP(U$1,'Ergebnisse Basisszenario'!$B$1:$G$21,21,FALSE)+2,FALSE))&lt;0,TRUE,FALSE),
TRUE,FALSE)</f>
        <v>1</v>
      </c>
    </row>
    <row r="14" spans="1:21" x14ac:dyDescent="0.3">
      <c r="A14" s="185" t="s">
        <v>925</v>
      </c>
      <c r="B14" s="191">
        <v>1.6839486433437949E-3</v>
      </c>
      <c r="C14" s="191">
        <v>4.5742124515917558E-4</v>
      </c>
      <c r="D14" s="191">
        <v>3.1726068545343271E-4</v>
      </c>
      <c r="E14" s="191">
        <v>4.7219120005654648E-4</v>
      </c>
      <c r="F14" s="191">
        <v>1.802045880237489E-3</v>
      </c>
      <c r="G14" s="191">
        <v>7.0944105322762131E-4</v>
      </c>
      <c r="H14" s="185" t="s">
        <v>926</v>
      </c>
      <c r="J14" s="185" t="s">
        <v>925</v>
      </c>
      <c r="K14" s="192">
        <f>(
VLOOKUP($J14,$A$2:$G$18,HLOOKUP(K$1,$B$1:$G$19,19,FALSE)+1,FALSE)
-
VLOOKUP($J14,'Ergebnisse Basisszenario'!$A$1:$H$21,HLOOKUP(K$1,'Ergebnisse Basisszenario'!$B$1:$G$21,21,FALSE)+1,FALSE)
)
/
VLOOKUP($J14,'Ergebnisse Basisszenario'!$A$1:$H$21,HLOOKUP(K$1,'Ergebnisse Basisszenario'!$B$1:$G$21,21,FALSE)+1,FALSE)</f>
        <v>0.96989689758422015</v>
      </c>
      <c r="L14" s="192">
        <f>(
VLOOKUP($J14,$A$2:$G$18,HLOOKUP(L$1,$B$1:$G$19,19,FALSE)+1,FALSE)
-
VLOOKUP($J14,'Ergebnisse Basisszenario'!$A$1:$H$21,HLOOKUP(L$1,'Ergebnisse Basisszenario'!$B$1:$G$21,21,FALSE)+1,FALSE)
)
/
VLOOKUP($J14,'Ergebnisse Basisszenario'!$A$1:$H$21,HLOOKUP(L$1,'Ergebnisse Basisszenario'!$B$1:$G$21,21,FALSE)+1,FALSE)</f>
        <v>0.31423017269128278</v>
      </c>
      <c r="M14" s="192">
        <f>(
VLOOKUP($J14,$A$2:$G$18,HLOOKUP(M$1,$B$1:$G$19,19,FALSE)+1,FALSE)
-
VLOOKUP($J14,'Ergebnisse Basisszenario'!$A$1:$H$21,HLOOKUP(M$1,'Ergebnisse Basisszenario'!$B$1:$G$21,21,FALSE)+1,FALSE)
)
/
VLOOKUP($J14,'Ergebnisse Basisszenario'!$A$1:$H$21,HLOOKUP(M$1,'Ergebnisse Basisszenario'!$B$1:$G$21,21,FALSE)+1,FALSE)</f>
        <v>-0.10155276066525762</v>
      </c>
      <c r="N14" s="192">
        <f>(
VLOOKUP($J14,$A$2:$G$18,HLOOKUP(N$1,$B$1:$G$19,19,FALSE)+1,FALSE)
-
VLOOKUP($J14,'Ergebnisse Basisszenario'!$A$1:$H$21,HLOOKUP(N$1,'Ergebnisse Basisszenario'!$B$1:$G$21,21,FALSE)+1,FALSE)
)
/
VLOOKUP($J14,'Ergebnisse Basisszenario'!$A$1:$H$21,HLOOKUP(N$1,'Ergebnisse Basisszenario'!$B$1:$G$21,21,FALSE)+1,FALSE)</f>
        <v>0.34646640751399033</v>
      </c>
      <c r="O14" s="192">
        <f>(
VLOOKUP($J14,$A$2:$G$18,HLOOKUP(O$1,$B$1:$G$19,19,FALSE)+1,FALSE)
-
VLOOKUP($J14,'Ergebnisse Basisszenario'!$A$1:$H$21,HLOOKUP(O$1,'Ergebnisse Basisszenario'!$B$1:$G$21,21,FALSE)+1,FALSE)
)
/
VLOOKUP($J14,'Ergebnisse Basisszenario'!$A$1:$H$21,HLOOKUP(O$1,'Ergebnisse Basisszenario'!$B$1:$G$21,21,FALSE)+1,FALSE)</f>
        <v>0.10520349596071557</v>
      </c>
      <c r="P14" s="192">
        <f>(
VLOOKUP($J14,$A$2:$G$18,HLOOKUP(P$1,$B$1:$G$19,19,FALSE)+1,FALSE)
-
VLOOKUP($J14,'Ergebnisse Basisszenario'!$A$1:$H$21,HLOOKUP(P$1,'Ergebnisse Basisszenario'!$B$1:$G$21,21,FALSE)+1,FALSE)
)
/
VLOOKUP($J14,'Ergebnisse Basisszenario'!$A$1:$H$21,HLOOKUP(P$1,'Ergebnisse Basisszenario'!$B$1:$G$21,21,FALSE)+1,FALSE)</f>
        <v>0.37344902934150548</v>
      </c>
      <c r="R14" s="185" t="s">
        <v>925</v>
      </c>
      <c r="S14" s="185" t="b">
        <f>IF(
IF((VLOOKUP($R14,$A$2:$G$18,HLOOKUP(S$1,$B$1:$G$19,19,FALSE)+1,FALSE)-VLOOKUP($R14,$A$2:$G$18,HLOOKUP(S$1,$B$1:$G$19,19,FALSE)+2,FALSE))&lt;0,TRUE,FALSE)
=
IF((VLOOKUP($R14,'Ergebnisse Basisszenario'!$A$2:$G$20,HLOOKUP(S$1,'Ergebnisse Basisszenario'!$B$1:$G$21,21,FALSE)+1,FALSE)-VLOOKUP($R14,'Ergebnisse Basisszenario'!$A$2:$G$20,HLOOKUP(S$1,'Ergebnisse Basisszenario'!$B$1:$G$21,21,FALSE)+2,FALSE))&lt;0,TRUE,FALSE),
TRUE,FALSE)</f>
        <v>1</v>
      </c>
      <c r="T14" s="185" t="b">
        <f>IF(
IF((VLOOKUP($R14,$A$2:$G$18,HLOOKUP(T$1,$B$1:$G$19,19,FALSE)+1,FALSE)-VLOOKUP($R14,$A$2:$G$18,HLOOKUP(T$1,$B$1:$G$19,19,FALSE)+2,FALSE))&lt;0,TRUE,FALSE)
=
IF((VLOOKUP($R14,'Ergebnisse Basisszenario'!$A$2:$G$20,HLOOKUP(T$1,'Ergebnisse Basisszenario'!$B$1:$G$21,21,FALSE)+1,FALSE)-VLOOKUP($R14,'Ergebnisse Basisszenario'!$A$2:$G$20,HLOOKUP(T$1,'Ergebnisse Basisszenario'!$B$1:$G$21,21,FALSE)+2,FALSE))&lt;0,TRUE,FALSE),
TRUE,FALSE)</f>
        <v>0</v>
      </c>
      <c r="U14" s="185" t="b">
        <f>IF(
IF((VLOOKUP($R14,$A$2:$G$18,HLOOKUP(U$1,$B$1:$G$19,19,FALSE)+1,FALSE)-VLOOKUP($R14,$A$2:$G$18,HLOOKUP(U$1,$B$1:$G$19,19,FALSE)+2,FALSE))&lt;0,TRUE,FALSE)
=
IF((VLOOKUP($R14,'Ergebnisse Basisszenario'!$A$2:$G$20,HLOOKUP(U$1,'Ergebnisse Basisszenario'!$B$1:$G$21,21,FALSE)+1,FALSE)-VLOOKUP($R14,'Ergebnisse Basisszenario'!$A$2:$G$20,HLOOKUP(U$1,'Ergebnisse Basisszenario'!$B$1:$G$21,21,FALSE)+2,FALSE))&lt;0,TRUE,FALSE),
TRUE,FALSE)</f>
        <v>1</v>
      </c>
    </row>
    <row r="15" spans="1:21" x14ac:dyDescent="0.3">
      <c r="A15" s="185" t="s">
        <v>927</v>
      </c>
      <c r="B15" s="191">
        <v>4.8796079300591936E-6</v>
      </c>
      <c r="C15" s="191">
        <v>4.6779352276106147E-6</v>
      </c>
      <c r="D15" s="191">
        <v>4.0555649303811676E-6</v>
      </c>
      <c r="E15" s="191">
        <v>5.0348980753325906E-6</v>
      </c>
      <c r="F15" s="191">
        <v>1.7356543517622512E-5</v>
      </c>
      <c r="G15" s="191">
        <v>7.6068300601119303E-6</v>
      </c>
      <c r="H15" s="185" t="s">
        <v>928</v>
      </c>
      <c r="J15" s="185" t="s">
        <v>927</v>
      </c>
      <c r="K15" s="192">
        <f>(
VLOOKUP($J15,$A$2:$G$18,HLOOKUP(K$1,$B$1:$G$19,19,FALSE)+1,FALSE)
-
VLOOKUP($J15,'Ergebnisse Basisszenario'!$A$1:$H$21,HLOOKUP(K$1,'Ergebnisse Basisszenario'!$B$1:$G$21,21,FALSE)+1,FALSE)
)
/
VLOOKUP($J15,'Ergebnisse Basisszenario'!$A$1:$H$21,HLOOKUP(K$1,'Ergebnisse Basisszenario'!$B$1:$G$21,21,FALSE)+1,FALSE)</f>
        <v>-0.32697853016045259</v>
      </c>
      <c r="L15" s="192">
        <f>(
VLOOKUP($J15,$A$2:$G$18,HLOOKUP(L$1,$B$1:$G$19,19,FALSE)+1,FALSE)
-
VLOOKUP($J15,'Ergebnisse Basisszenario'!$A$1:$H$21,HLOOKUP(L$1,'Ergebnisse Basisszenario'!$B$1:$G$21,21,FALSE)+1,FALSE)
)
/
VLOOKUP($J15,'Ergebnisse Basisszenario'!$A$1:$H$21,HLOOKUP(L$1,'Ergebnisse Basisszenario'!$B$1:$G$21,21,FALSE)+1,FALSE)</f>
        <v>-1.2691965667582291E-2</v>
      </c>
      <c r="M15" s="192">
        <f>(
VLOOKUP($J15,$A$2:$G$18,HLOOKUP(M$1,$B$1:$G$19,19,FALSE)+1,FALSE)
-
VLOOKUP($J15,'Ergebnisse Basisszenario'!$A$1:$H$21,HLOOKUP(M$1,'Ergebnisse Basisszenario'!$B$1:$G$21,21,FALSE)+1,FALSE)
)
/
VLOOKUP($J15,'Ergebnisse Basisszenario'!$A$1:$H$21,HLOOKUP(M$1,'Ergebnisse Basisszenario'!$B$1:$G$21,21,FALSE)+1,FALSE)</f>
        <v>-0.13519306804937667</v>
      </c>
      <c r="N15" s="192">
        <f>(
VLOOKUP($J15,$A$2:$G$18,HLOOKUP(N$1,$B$1:$G$19,19,FALSE)+1,FALSE)
-
VLOOKUP($J15,'Ergebnisse Basisszenario'!$A$1:$H$21,HLOOKUP(N$1,'Ergebnisse Basisszenario'!$B$1:$G$21,21,FALSE)+1,FALSE)
)
/
VLOOKUP($J15,'Ergebnisse Basisszenario'!$A$1:$H$21,HLOOKUP(N$1,'Ergebnisse Basisszenario'!$B$1:$G$21,21,FALSE)+1,FALSE)</f>
        <v>-1.3095008983699152E-2</v>
      </c>
      <c r="O15" s="192">
        <f>(
VLOOKUP($J15,$A$2:$G$18,HLOOKUP(O$1,$B$1:$G$19,19,FALSE)+1,FALSE)
-
VLOOKUP($J15,'Ergebnisse Basisszenario'!$A$1:$H$21,HLOOKUP(O$1,'Ergebnisse Basisszenario'!$B$1:$G$21,21,FALSE)+1,FALSE)
)
/
VLOOKUP($J15,'Ergebnisse Basisszenario'!$A$1:$H$21,HLOOKUP(O$1,'Ergebnisse Basisszenario'!$B$1:$G$21,21,FALSE)+1,FALSE)</f>
        <v>-6.1489450387610382E-2</v>
      </c>
      <c r="P15" s="192">
        <f>(
VLOOKUP($J15,$A$2:$G$18,HLOOKUP(P$1,$B$1:$G$19,19,FALSE)+1,FALSE)
-
VLOOKUP($J15,'Ergebnisse Basisszenario'!$A$1:$H$21,HLOOKUP(P$1,'Ergebnisse Basisszenario'!$B$1:$G$21,21,FALSE)+1,FALSE)
)
/
VLOOKUP($J15,'Ergebnisse Basisszenario'!$A$1:$H$21,HLOOKUP(P$1,'Ergebnisse Basisszenario'!$B$1:$G$21,21,FALSE)+1,FALSE)</f>
        <v>-1.3751665897537483E-2</v>
      </c>
      <c r="R15" s="185" t="s">
        <v>927</v>
      </c>
      <c r="S15" s="185" t="b">
        <f>IF(
IF((VLOOKUP($R15,$A$2:$G$18,HLOOKUP(S$1,$B$1:$G$19,19,FALSE)+1,FALSE)-VLOOKUP($R15,$A$2:$G$18,HLOOKUP(S$1,$B$1:$G$19,19,FALSE)+2,FALSE))&lt;0,TRUE,FALSE)
=
IF((VLOOKUP($R15,'Ergebnisse Basisszenario'!$A$2:$G$20,HLOOKUP(S$1,'Ergebnisse Basisszenario'!$B$1:$G$21,21,FALSE)+1,FALSE)-VLOOKUP($R15,'Ergebnisse Basisszenario'!$A$2:$G$20,HLOOKUP(S$1,'Ergebnisse Basisszenario'!$B$1:$G$21,21,FALSE)+2,FALSE))&lt;0,TRUE,FALSE),
TRUE,FALSE)</f>
        <v>1</v>
      </c>
      <c r="T15" s="185" t="b">
        <f>IF(
IF((VLOOKUP($R15,$A$2:$G$18,HLOOKUP(T$1,$B$1:$G$19,19,FALSE)+1,FALSE)-VLOOKUP($R15,$A$2:$G$18,HLOOKUP(T$1,$B$1:$G$19,19,FALSE)+2,FALSE))&lt;0,TRUE,FALSE)
=
IF((VLOOKUP($R15,'Ergebnisse Basisszenario'!$A$2:$G$20,HLOOKUP(T$1,'Ergebnisse Basisszenario'!$B$1:$G$21,21,FALSE)+1,FALSE)-VLOOKUP($R15,'Ergebnisse Basisszenario'!$A$2:$G$20,HLOOKUP(T$1,'Ergebnisse Basisszenario'!$B$1:$G$21,21,FALSE)+2,FALSE))&lt;0,TRUE,FALSE),
TRUE,FALSE)</f>
        <v>1</v>
      </c>
      <c r="U15" s="185" t="b">
        <f>IF(
IF((VLOOKUP($R15,$A$2:$G$18,HLOOKUP(U$1,$B$1:$G$19,19,FALSE)+1,FALSE)-VLOOKUP($R15,$A$2:$G$18,HLOOKUP(U$1,$B$1:$G$19,19,FALSE)+2,FALSE))&lt;0,TRUE,FALSE)
=
IF((VLOOKUP($R15,'Ergebnisse Basisszenario'!$A$2:$G$20,HLOOKUP(U$1,'Ergebnisse Basisszenario'!$B$1:$G$21,21,FALSE)+1,FALSE)-VLOOKUP($R15,'Ergebnisse Basisszenario'!$A$2:$G$20,HLOOKUP(U$1,'Ergebnisse Basisszenario'!$B$1:$G$21,21,FALSE)+2,FALSE))&lt;0,TRUE,FALSE),
TRUE,FALSE)</f>
        <v>1</v>
      </c>
    </row>
    <row r="16" spans="1:21" x14ac:dyDescent="0.3">
      <c r="A16" s="185" t="s">
        <v>929</v>
      </c>
      <c r="B16" s="191">
        <v>2.3360855635910208E-6</v>
      </c>
      <c r="C16" s="191">
        <v>9.8175416959968318E-7</v>
      </c>
      <c r="D16" s="191">
        <v>1.514180836673601E-6</v>
      </c>
      <c r="E16" s="191">
        <v>9.6145125834039272E-7</v>
      </c>
      <c r="F16" s="191">
        <v>6.5126339739587638E-6</v>
      </c>
      <c r="G16" s="191">
        <v>1.353708838488304E-6</v>
      </c>
      <c r="H16" s="185" t="s">
        <v>930</v>
      </c>
      <c r="J16" s="185" t="s">
        <v>929</v>
      </c>
      <c r="K16" s="192">
        <f>(
VLOOKUP($J16,$A$2:$G$18,HLOOKUP(K$1,$B$1:$G$19,19,FALSE)+1,FALSE)
-
VLOOKUP($J16,'Ergebnisse Basisszenario'!$A$1:$H$21,HLOOKUP(K$1,'Ergebnisse Basisszenario'!$B$1:$G$21,21,FALSE)+1,FALSE)
)
/
VLOOKUP($J16,'Ergebnisse Basisszenario'!$A$1:$H$21,HLOOKUP(K$1,'Ergebnisse Basisszenario'!$B$1:$G$21,21,FALSE)+1,FALSE)</f>
        <v>-0.62533492998681317</v>
      </c>
      <c r="L16" s="192">
        <f>(
VLOOKUP($J16,$A$2:$G$18,HLOOKUP(L$1,$B$1:$G$19,19,FALSE)+1,FALSE)
-
VLOOKUP($J16,'Ergebnisse Basisszenario'!$A$1:$H$21,HLOOKUP(L$1,'Ergebnisse Basisszenario'!$B$1:$G$21,21,FALSE)+1,FALSE)
)
/
VLOOKUP($J16,'Ergebnisse Basisszenario'!$A$1:$H$21,HLOOKUP(L$1,'Ergebnisse Basisszenario'!$B$1:$G$21,21,FALSE)+1,FALSE)</f>
        <v>2.2490591919834255E-2</v>
      </c>
      <c r="M16" s="192">
        <f>(
VLOOKUP($J16,$A$2:$G$18,HLOOKUP(M$1,$B$1:$G$19,19,FALSE)+1,FALSE)
-
VLOOKUP($J16,'Ergebnisse Basisszenario'!$A$1:$H$21,HLOOKUP(M$1,'Ergebnisse Basisszenario'!$B$1:$G$21,21,FALSE)+1,FALSE)
)
/
VLOOKUP($J16,'Ergebnisse Basisszenario'!$A$1:$H$21,HLOOKUP(M$1,'Ergebnisse Basisszenario'!$B$1:$G$21,21,FALSE)+1,FALSE)</f>
        <v>-0.26745657773384113</v>
      </c>
      <c r="N16" s="192">
        <f>(
VLOOKUP($J16,$A$2:$G$18,HLOOKUP(N$1,$B$1:$G$19,19,FALSE)+1,FALSE)
-
VLOOKUP($J16,'Ergebnisse Basisszenario'!$A$1:$H$21,HLOOKUP(N$1,'Ergebnisse Basisszenario'!$B$1:$G$21,21,FALSE)+1,FALSE)
)
/
VLOOKUP($J16,'Ergebnisse Basisszenario'!$A$1:$H$21,HLOOKUP(N$1,'Ergebnisse Basisszenario'!$B$1:$G$21,21,FALSE)+1,FALSE)</f>
        <v>2.5590680217404519E-2</v>
      </c>
      <c r="O16" s="192">
        <f>(
VLOOKUP($J16,$A$2:$G$18,HLOOKUP(O$1,$B$1:$G$19,19,FALSE)+1,FALSE)
-
VLOOKUP($J16,'Ergebnisse Basisszenario'!$A$1:$H$21,HLOOKUP(O$1,'Ergebnisse Basisszenario'!$B$1:$G$21,21,FALSE)+1,FALSE)
)
/
VLOOKUP($J16,'Ergebnisse Basisszenario'!$A$1:$H$21,HLOOKUP(O$1,'Ergebnisse Basisszenario'!$B$1:$G$21,21,FALSE)+1,FALSE)</f>
        <v>-0.15096420264042321</v>
      </c>
      <c r="P16" s="192">
        <f>(
VLOOKUP($J16,$A$2:$G$18,HLOOKUP(P$1,$B$1:$G$19,19,FALSE)+1,FALSE)
-
VLOOKUP($J16,'Ergebnisse Basisszenario'!$A$1:$H$21,HLOOKUP(P$1,'Ergebnisse Basisszenario'!$B$1:$G$21,21,FALSE)+1,FALSE)
)
/
VLOOKUP($J16,'Ergebnisse Basisszenario'!$A$1:$H$21,HLOOKUP(P$1,'Ergebnisse Basisszenario'!$B$1:$G$21,21,FALSE)+1,FALSE)</f>
        <v>2.8950485655298751E-2</v>
      </c>
      <c r="R16" s="185" t="s">
        <v>929</v>
      </c>
      <c r="S16" s="185" t="b">
        <f>IF(
IF((VLOOKUP($R16,$A$2:$G$18,HLOOKUP(S$1,$B$1:$G$19,19,FALSE)+1,FALSE)-VLOOKUP($R16,$A$2:$G$18,HLOOKUP(S$1,$B$1:$G$19,19,FALSE)+2,FALSE))&lt;0,TRUE,FALSE)
=
IF((VLOOKUP($R16,'Ergebnisse Basisszenario'!$A$2:$G$20,HLOOKUP(S$1,'Ergebnisse Basisszenario'!$B$1:$G$21,21,FALSE)+1,FALSE)-VLOOKUP($R16,'Ergebnisse Basisszenario'!$A$2:$G$20,HLOOKUP(S$1,'Ergebnisse Basisszenario'!$B$1:$G$21,21,FALSE)+2,FALSE))&lt;0,TRUE,FALSE),
TRUE,FALSE)</f>
        <v>1</v>
      </c>
      <c r="T16" s="185" t="b">
        <f>IF(
IF((VLOOKUP($R16,$A$2:$G$18,HLOOKUP(T$1,$B$1:$G$19,19,FALSE)+1,FALSE)-VLOOKUP($R16,$A$2:$G$18,HLOOKUP(T$1,$B$1:$G$19,19,FALSE)+2,FALSE))&lt;0,TRUE,FALSE)
=
IF((VLOOKUP($R16,'Ergebnisse Basisszenario'!$A$2:$G$20,HLOOKUP(T$1,'Ergebnisse Basisszenario'!$B$1:$G$21,21,FALSE)+1,FALSE)-VLOOKUP($R16,'Ergebnisse Basisszenario'!$A$2:$G$20,HLOOKUP(T$1,'Ergebnisse Basisszenario'!$B$1:$G$21,21,FALSE)+2,FALSE))&lt;0,TRUE,FALSE),
TRUE,FALSE)</f>
        <v>1</v>
      </c>
      <c r="U16" s="185" t="b">
        <f>IF(
IF((VLOOKUP($R16,$A$2:$G$18,HLOOKUP(U$1,$B$1:$G$19,19,FALSE)+1,FALSE)-VLOOKUP($R16,$A$2:$G$18,HLOOKUP(U$1,$B$1:$G$19,19,FALSE)+2,FALSE))&lt;0,TRUE,FALSE)
=
IF((VLOOKUP($R16,'Ergebnisse Basisszenario'!$A$2:$G$20,HLOOKUP(U$1,'Ergebnisse Basisszenario'!$B$1:$G$21,21,FALSE)+1,FALSE)-VLOOKUP($R16,'Ergebnisse Basisszenario'!$A$2:$G$20,HLOOKUP(U$1,'Ergebnisse Basisszenario'!$B$1:$G$21,21,FALSE)+2,FALSE))&lt;0,TRUE,FALSE),
TRUE,FALSE)</f>
        <v>1</v>
      </c>
    </row>
    <row r="17" spans="1:21" x14ac:dyDescent="0.3">
      <c r="A17" s="185" t="s">
        <v>931</v>
      </c>
      <c r="B17" s="191">
        <v>0.17162830357063241</v>
      </c>
      <c r="C17" s="191">
        <v>9.4452176086707432E-2</v>
      </c>
      <c r="D17" s="191">
        <v>0.1203932905450255</v>
      </c>
      <c r="E17" s="191">
        <v>0.1019000197290289</v>
      </c>
      <c r="F17" s="191">
        <v>0.48417457978160061</v>
      </c>
      <c r="G17" s="191">
        <v>0.145294249575249</v>
      </c>
      <c r="H17" s="185" t="s">
        <v>932</v>
      </c>
      <c r="J17" s="185" t="s">
        <v>931</v>
      </c>
      <c r="K17" s="192">
        <f>(
VLOOKUP($J17,$A$2:$G$18,HLOOKUP(K$1,$B$1:$G$19,19,FALSE)+1,FALSE)
-
VLOOKUP($J17,'Ergebnisse Basisszenario'!$A$1:$H$21,HLOOKUP(K$1,'Ergebnisse Basisszenario'!$B$1:$G$21,21,FALSE)+1,FALSE)
)
/
VLOOKUP($J17,'Ergebnisse Basisszenario'!$A$1:$H$21,HLOOKUP(K$1,'Ergebnisse Basisszenario'!$B$1:$G$21,21,FALSE)+1,FALSE)</f>
        <v>-0.51502258424979264</v>
      </c>
      <c r="L17" s="192">
        <f>(
VLOOKUP($J17,$A$2:$G$18,HLOOKUP(L$1,$B$1:$G$19,19,FALSE)+1,FALSE)
-
VLOOKUP($J17,'Ergebnisse Basisszenario'!$A$1:$H$21,HLOOKUP(L$1,'Ergebnisse Basisszenario'!$B$1:$G$21,21,FALSE)+1,FALSE)
)
/
VLOOKUP($J17,'Ergebnisse Basisszenario'!$A$1:$H$21,HLOOKUP(L$1,'Ergebnisse Basisszenario'!$B$1:$G$21,21,FALSE)+1,FALSE)</f>
        <v>-5.8456854526095871E-2</v>
      </c>
      <c r="M17" s="192">
        <f>(
VLOOKUP($J17,$A$2:$G$18,HLOOKUP(M$1,$B$1:$G$19,19,FALSE)+1,FALSE)
-
VLOOKUP($J17,'Ergebnisse Basisszenario'!$A$1:$H$21,HLOOKUP(M$1,'Ergebnisse Basisszenario'!$B$1:$G$21,21,FALSE)+1,FALSE)
)
/
VLOOKUP($J17,'Ergebnisse Basisszenario'!$A$1:$H$21,HLOOKUP(M$1,'Ergebnisse Basisszenario'!$B$1:$G$21,21,FALSE)+1,FALSE)</f>
        <v>-0.35533924733103045</v>
      </c>
      <c r="N17" s="192">
        <f>(
VLOOKUP($J17,$A$2:$G$18,HLOOKUP(N$1,$B$1:$G$19,19,FALSE)+1,FALSE)
-
VLOOKUP($J17,'Ergebnisse Basisszenario'!$A$1:$H$21,HLOOKUP(N$1,'Ergebnisse Basisszenario'!$B$1:$G$21,21,FALSE)+1,FALSE)
)
/
VLOOKUP($J17,'Ergebnisse Basisszenario'!$A$1:$H$21,HLOOKUP(N$1,'Ergebnisse Basisszenario'!$B$1:$G$21,21,FALSE)+1,FALSE)</f>
        <v>-6.0091001404127424E-2</v>
      </c>
      <c r="O17" s="192">
        <f>(
VLOOKUP($J17,$A$2:$G$18,HLOOKUP(O$1,$B$1:$G$19,19,FALSE)+1,FALSE)
-
VLOOKUP($J17,'Ergebnisse Basisszenario'!$A$1:$H$21,HLOOKUP(O$1,'Ergebnisse Basisszenario'!$B$1:$G$21,21,FALSE)+1,FALSE)
)
/
VLOOKUP($J17,'Ergebnisse Basisszenario'!$A$1:$H$21,HLOOKUP(O$1,'Ergebnisse Basisszenario'!$B$1:$G$21,21,FALSE)+1,FALSE)</f>
        <v>-0.14519544442614152</v>
      </c>
      <c r="P17" s="192">
        <f>(
VLOOKUP($J17,$A$2:$G$18,HLOOKUP(P$1,$B$1:$G$19,19,FALSE)+1,FALSE)
-
VLOOKUP($J17,'Ergebnisse Basisszenario'!$A$1:$H$21,HLOOKUP(P$1,'Ergebnisse Basisszenario'!$B$1:$G$21,21,FALSE)+1,FALSE)
)
/
VLOOKUP($J17,'Ergebnisse Basisszenario'!$A$1:$H$21,HLOOKUP(P$1,'Ergebnisse Basisszenario'!$B$1:$G$21,21,FALSE)+1,FALSE)</f>
        <v>-6.6456239361369587E-2</v>
      </c>
      <c r="R17" s="185" t="s">
        <v>931</v>
      </c>
      <c r="S17" s="185" t="b">
        <f>IF(
IF((VLOOKUP($R17,$A$2:$G$18,HLOOKUP(S$1,$B$1:$G$19,19,FALSE)+1,FALSE)-VLOOKUP($R17,$A$2:$G$18,HLOOKUP(S$1,$B$1:$G$19,19,FALSE)+2,FALSE))&lt;0,TRUE,FALSE)
=
IF((VLOOKUP($R17,'Ergebnisse Basisszenario'!$A$2:$G$20,HLOOKUP(S$1,'Ergebnisse Basisszenario'!$B$1:$G$21,21,FALSE)+1,FALSE)-VLOOKUP($R17,'Ergebnisse Basisszenario'!$A$2:$G$20,HLOOKUP(S$1,'Ergebnisse Basisszenario'!$B$1:$G$21,21,FALSE)+2,FALSE))&lt;0,TRUE,FALSE),
TRUE,FALSE)</f>
        <v>1</v>
      </c>
      <c r="T17" s="185" t="b">
        <f>IF(
IF((VLOOKUP($R17,$A$2:$G$18,HLOOKUP(T$1,$B$1:$G$19,19,FALSE)+1,FALSE)-VLOOKUP($R17,$A$2:$G$18,HLOOKUP(T$1,$B$1:$G$19,19,FALSE)+2,FALSE))&lt;0,TRUE,FALSE)
=
IF((VLOOKUP($R17,'Ergebnisse Basisszenario'!$A$2:$G$20,HLOOKUP(T$1,'Ergebnisse Basisszenario'!$B$1:$G$21,21,FALSE)+1,FALSE)-VLOOKUP($R17,'Ergebnisse Basisszenario'!$A$2:$G$20,HLOOKUP(T$1,'Ergebnisse Basisszenario'!$B$1:$G$21,21,FALSE)+2,FALSE))&lt;0,TRUE,FALSE),
TRUE,FALSE)</f>
        <v>1</v>
      </c>
      <c r="U17" s="185" t="b">
        <f>IF(
IF((VLOOKUP($R17,$A$2:$G$18,HLOOKUP(U$1,$B$1:$G$19,19,FALSE)+1,FALSE)-VLOOKUP($R17,$A$2:$G$18,HLOOKUP(U$1,$B$1:$G$19,19,FALSE)+2,FALSE))&lt;0,TRUE,FALSE)
=
IF((VLOOKUP($R17,'Ergebnisse Basisszenario'!$A$2:$G$20,HLOOKUP(U$1,'Ergebnisse Basisszenario'!$B$1:$G$21,21,FALSE)+1,FALSE)-VLOOKUP($R17,'Ergebnisse Basisszenario'!$A$2:$G$20,HLOOKUP(U$1,'Ergebnisse Basisszenario'!$B$1:$G$21,21,FALSE)+2,FALSE))&lt;0,TRUE,FALSE),
TRUE,FALSE)</f>
        <v>1</v>
      </c>
    </row>
    <row r="18" spans="1:21" x14ac:dyDescent="0.3">
      <c r="A18" s="185" t="s">
        <v>933</v>
      </c>
      <c r="B18" s="191">
        <v>18.897235159216219</v>
      </c>
      <c r="C18" s="191">
        <v>11.192501949181089</v>
      </c>
      <c r="D18" s="191">
        <v>14.385324868596911</v>
      </c>
      <c r="E18" s="191">
        <v>12.120535713953331</v>
      </c>
      <c r="F18" s="191">
        <v>59.879245561064323</v>
      </c>
      <c r="G18" s="191">
        <v>16.831040444136711</v>
      </c>
      <c r="H18" s="185" t="s">
        <v>934</v>
      </c>
      <c r="J18" s="185" t="s">
        <v>933</v>
      </c>
      <c r="K18" s="192">
        <f>(
VLOOKUP($J18,$A$2:$G$18,HLOOKUP(K$1,$B$1:$G$19,19,FALSE)+1,FALSE)
-
VLOOKUP($J18,'Ergebnisse Basisszenario'!$A$1:$H$21,HLOOKUP(K$1,'Ergebnisse Basisszenario'!$B$1:$G$21,21,FALSE)+1,FALSE)
)
/
VLOOKUP($J18,'Ergebnisse Basisszenario'!$A$1:$H$21,HLOOKUP(K$1,'Ergebnisse Basisszenario'!$B$1:$G$21,21,FALSE)+1,FALSE)</f>
        <v>-0.51669848753796088</v>
      </c>
      <c r="L18" s="192">
        <f>(
VLOOKUP($J18,$A$2:$G$18,HLOOKUP(L$1,$B$1:$G$19,19,FALSE)+1,FALSE)
-
VLOOKUP($J18,'Ergebnisse Basisszenario'!$A$1:$H$21,HLOOKUP(L$1,'Ergebnisse Basisszenario'!$B$1:$G$21,21,FALSE)+1,FALSE)
)
/
VLOOKUP($J18,'Ergebnisse Basisszenario'!$A$1:$H$21,HLOOKUP(L$1,'Ergebnisse Basisszenario'!$B$1:$G$21,21,FALSE)+1,FALSE)</f>
        <v>5.1392292997961345E-2</v>
      </c>
      <c r="M18" s="192">
        <f>(
VLOOKUP($J18,$A$2:$G$18,HLOOKUP(M$1,$B$1:$G$19,19,FALSE)+1,FALSE)
-
VLOOKUP($J18,'Ergebnisse Basisszenario'!$A$1:$H$21,HLOOKUP(M$1,'Ergebnisse Basisszenario'!$B$1:$G$21,21,FALSE)+1,FALSE)
)
/
VLOOKUP($J18,'Ergebnisse Basisszenario'!$A$1:$H$21,HLOOKUP(M$1,'Ergebnisse Basisszenario'!$B$1:$G$21,21,FALSE)+1,FALSE)</f>
        <v>-0.35484756961170505</v>
      </c>
      <c r="N18" s="192">
        <f>(
VLOOKUP($J18,$A$2:$G$18,HLOOKUP(N$1,$B$1:$G$19,19,FALSE)+1,FALSE)
-
VLOOKUP($J18,'Ergebnisse Basisszenario'!$A$1:$H$21,HLOOKUP(N$1,'Ergebnisse Basisszenario'!$B$1:$G$21,21,FALSE)+1,FALSE)
)
/
VLOOKUP($J18,'Ergebnisse Basisszenario'!$A$1:$H$21,HLOOKUP(N$1,'Ergebnisse Basisszenario'!$B$1:$G$21,21,FALSE)+1,FALSE)</f>
        <v>5.2792479531711803E-2</v>
      </c>
      <c r="O18" s="192">
        <f>(
VLOOKUP($J18,$A$2:$G$18,HLOOKUP(O$1,$B$1:$G$19,19,FALSE)+1,FALSE)
-
VLOOKUP($J18,'Ergebnisse Basisszenario'!$A$1:$H$21,HLOOKUP(O$1,'Ergebnisse Basisszenario'!$B$1:$G$21,21,FALSE)+1,FALSE)
)
/
VLOOKUP($J18,'Ergebnisse Basisszenario'!$A$1:$H$21,HLOOKUP(O$1,'Ergebnisse Basisszenario'!$B$1:$G$21,21,FALSE)+1,FALSE)</f>
        <v>-8.4617746282529951E-2</v>
      </c>
      <c r="P18" s="192">
        <f>(
VLOOKUP($J18,$A$2:$G$18,HLOOKUP(P$1,$B$1:$G$19,19,FALSE)+1,FALSE)
-
VLOOKUP($J18,'Ergebnisse Basisszenario'!$A$1:$H$21,HLOOKUP(P$1,'Ergebnisse Basisszenario'!$B$1:$G$21,21,FALSE)+1,FALSE)
)
/
VLOOKUP($J18,'Ergebnisse Basisszenario'!$A$1:$H$21,HLOOKUP(P$1,'Ergebnisse Basisszenario'!$B$1:$G$21,21,FALSE)+1,FALSE)</f>
        <v>6.0818072702553738E-2</v>
      </c>
      <c r="R18" s="185" t="s">
        <v>933</v>
      </c>
      <c r="S18" s="185" t="b">
        <f>IF(
IF((VLOOKUP($R18,$A$2:$G$18,HLOOKUP(S$1,$B$1:$G$19,19,FALSE)+1,FALSE)-VLOOKUP($R18,$A$2:$G$18,HLOOKUP(S$1,$B$1:$G$19,19,FALSE)+2,FALSE))&lt;0,TRUE,FALSE)
=
IF((VLOOKUP($R18,'Ergebnisse Basisszenario'!$A$2:$G$20,HLOOKUP(S$1,'Ergebnisse Basisszenario'!$B$1:$G$21,21,FALSE)+1,FALSE)-VLOOKUP($R18,'Ergebnisse Basisszenario'!$A$2:$G$20,HLOOKUP(S$1,'Ergebnisse Basisszenario'!$B$1:$G$21,21,FALSE)+2,FALSE))&lt;0,TRUE,FALSE),
TRUE,FALSE)</f>
        <v>1</v>
      </c>
      <c r="T18" s="185" t="b">
        <f>IF(
IF((VLOOKUP($R18,$A$2:$G$18,HLOOKUP(T$1,$B$1:$G$19,19,FALSE)+1,FALSE)-VLOOKUP($R18,$A$2:$G$18,HLOOKUP(T$1,$B$1:$G$19,19,FALSE)+2,FALSE))&lt;0,TRUE,FALSE)
=
IF((VLOOKUP($R18,'Ergebnisse Basisszenario'!$A$2:$G$20,HLOOKUP(T$1,'Ergebnisse Basisszenario'!$B$1:$G$21,21,FALSE)+1,FALSE)-VLOOKUP($R18,'Ergebnisse Basisszenario'!$A$2:$G$20,HLOOKUP(T$1,'Ergebnisse Basisszenario'!$B$1:$G$21,21,FALSE)+2,FALSE))&lt;0,TRUE,FALSE),
TRUE,FALSE)</f>
        <v>1</v>
      </c>
      <c r="U18" s="185" t="b">
        <f>IF(
IF((VLOOKUP($R18,$A$2:$G$18,HLOOKUP(U$1,$B$1:$G$19,19,FALSE)+1,FALSE)-VLOOKUP($R18,$A$2:$G$18,HLOOKUP(U$1,$B$1:$G$19,19,FALSE)+2,FALSE))&lt;0,TRUE,FALSE)
=
IF((VLOOKUP($R18,'Ergebnisse Basisszenario'!$A$2:$G$20,HLOOKUP(U$1,'Ergebnisse Basisszenario'!$B$1:$G$21,21,FALSE)+1,FALSE)-VLOOKUP($R18,'Ergebnisse Basisszenario'!$A$2:$G$20,HLOOKUP(U$1,'Ergebnisse Basisszenario'!$B$1:$G$21,21,FALSE)+2,FALSE))&lt;0,TRUE,FALSE),
TRUE,FALSE)</f>
        <v>1</v>
      </c>
    </row>
    <row r="19" spans="1:21" x14ac:dyDescent="0.3">
      <c r="B19" s="185">
        <v>1</v>
      </c>
      <c r="C19" s="185">
        <v>2</v>
      </c>
      <c r="D19" s="185">
        <v>3</v>
      </c>
      <c r="E19" s="185">
        <v>4</v>
      </c>
      <c r="F19" s="185">
        <v>5</v>
      </c>
      <c r="G19" s="185">
        <v>6</v>
      </c>
    </row>
    <row r="21" spans="1:21" x14ac:dyDescent="0.3">
      <c r="A21" s="186" t="s">
        <v>938</v>
      </c>
      <c r="B21" s="247" cm="1">
        <f t="array" ref="B21">SUMPRODUCT((B2:B18&lt;C2:C18)*1)</f>
        <v>0</v>
      </c>
      <c r="C21" s="247"/>
      <c r="D21" s="247" cm="1">
        <f t="array" ref="D21">SUMPRODUCT((D2:D18&lt;E2:E18)*1)</f>
        <v>7</v>
      </c>
      <c r="E21" s="247"/>
      <c r="F21" s="247" cm="1">
        <f t="array" ref="F21">SUMPRODUCT((F2:F18&lt;G2:G18)*1)</f>
        <v>0</v>
      </c>
      <c r="G21" s="247"/>
    </row>
    <row r="22" spans="1:21" x14ac:dyDescent="0.3">
      <c r="A22" s="208" t="s">
        <v>1000</v>
      </c>
    </row>
    <row r="23" spans="1:21" x14ac:dyDescent="0.3">
      <c r="A23" s="207" t="s">
        <v>903</v>
      </c>
    </row>
    <row r="24" spans="1:21" x14ac:dyDescent="0.3">
      <c r="A24" s="186"/>
      <c r="B24" s="247" t="s">
        <v>898</v>
      </c>
      <c r="C24" s="247"/>
      <c r="D24" s="247" t="s">
        <v>899</v>
      </c>
      <c r="E24" s="247"/>
      <c r="F24" s="247" t="s">
        <v>900</v>
      </c>
      <c r="G24" s="247"/>
    </row>
    <row r="25" spans="1:21" x14ac:dyDescent="0.3">
      <c r="B25" s="185" t="s">
        <v>660</v>
      </c>
      <c r="C25" s="185" t="s">
        <v>669</v>
      </c>
      <c r="D25" s="185" t="s">
        <v>660</v>
      </c>
      <c r="E25" s="185" t="s">
        <v>669</v>
      </c>
      <c r="F25" s="185" t="s">
        <v>660</v>
      </c>
      <c r="G25" s="185" t="s">
        <v>669</v>
      </c>
    </row>
    <row r="26" spans="1:21" x14ac:dyDescent="0.3">
      <c r="A26" s="185" t="s">
        <v>939</v>
      </c>
      <c r="B26" s="188">
        <f>VLOOKUP($A$23,$A$2:$G$18,2,FALSE)</f>
        <v>46.297347844305662</v>
      </c>
      <c r="C26" s="188">
        <f>VLOOKUP($A$23,$A$2:$G$18,3,FALSE)</f>
        <v>43.151367758651453</v>
      </c>
      <c r="D26" s="188">
        <f>VLOOKUP($A$23,$A$2:$G$18,4,FALSE)</f>
        <v>48.834937529330112</v>
      </c>
      <c r="E26" s="188">
        <f>VLOOKUP($A$23,$A$2:$G$18,5,FALSE)</f>
        <v>51.401237404902261</v>
      </c>
      <c r="F26" s="188">
        <f>VLOOKUP($A$23,$A$2:$G$18,6,FALSE)</f>
        <v>177.0719375122691</v>
      </c>
      <c r="G26" s="188">
        <f>VLOOKUP($A$23,$A$2:$G$18,7,FALSE)</f>
        <v>72.11064481920333</v>
      </c>
    </row>
    <row r="27" spans="1:21" x14ac:dyDescent="0.3">
      <c r="A27" s="185" t="s">
        <v>940</v>
      </c>
      <c r="B27" s="188">
        <f>VLOOKUP($A$23,'Ergebnisse Basisszenario'!$A$2:$G$20,2,FALSE)</f>
        <v>94.428134249607126</v>
      </c>
      <c r="C27" s="188">
        <f>VLOOKUP($A$23,'Ergebnisse Basisszenario'!$A$2:$G$20,3,FALSE)</f>
        <v>51.451796087851058</v>
      </c>
      <c r="D27" s="188">
        <f>VLOOKUP($A$23,'Ergebnisse Basisszenario'!$A$2:$G$20,4,FALSE)</f>
        <v>100.959898345727</v>
      </c>
      <c r="E27" s="188">
        <f>VLOOKUP($A$23,'Ergebnisse Basisszenario'!$A$2:$G$20,5,FALSE)</f>
        <v>60.622517652332903</v>
      </c>
      <c r="F27" s="188">
        <f>VLOOKUP($A$23,'Ergebnisse Basisszenario'!$A$2:$G$20,6,FALSE)</f>
        <v>218.4485935047714</v>
      </c>
      <c r="G27" s="188">
        <f>VLOOKUP($A$23,'Ergebnisse Basisszenario'!$A$2:$G$20,7,FALSE)</f>
        <v>86.750703793861035</v>
      </c>
    </row>
    <row r="28" spans="1:21" x14ac:dyDescent="0.3">
      <c r="A28" s="185" t="s">
        <v>941</v>
      </c>
      <c r="B28" s="185">
        <f>B26-B27</f>
        <v>-48.130786405301464</v>
      </c>
      <c r="C28" s="185">
        <f t="shared" ref="C28:G28" si="0">C26-C27</f>
        <v>-8.3004283291996046</v>
      </c>
      <c r="D28" s="185">
        <f t="shared" si="0"/>
        <v>-52.124960816396886</v>
      </c>
      <c r="E28" s="185">
        <f t="shared" si="0"/>
        <v>-9.2212802474306415</v>
      </c>
      <c r="F28" s="185">
        <f t="shared" si="0"/>
        <v>-41.376655992502293</v>
      </c>
      <c r="G28" s="185">
        <f t="shared" si="0"/>
        <v>-14.640058974657705</v>
      </c>
    </row>
    <row r="29" spans="1:21" x14ac:dyDescent="0.3">
      <c r="A29" s="185" t="s">
        <v>942</v>
      </c>
      <c r="B29" s="185">
        <f>IF(B28&gt;0,B28,0)</f>
        <v>0</v>
      </c>
      <c r="C29" s="185">
        <f t="shared" ref="C29:G29" si="1">IF(C28&gt;0,C28,0)</f>
        <v>0</v>
      </c>
      <c r="D29" s="185">
        <f t="shared" si="1"/>
        <v>0</v>
      </c>
      <c r="E29" s="185">
        <f t="shared" si="1"/>
        <v>0</v>
      </c>
      <c r="F29" s="185">
        <f t="shared" si="1"/>
        <v>0</v>
      </c>
      <c r="G29" s="185">
        <f t="shared" si="1"/>
        <v>0</v>
      </c>
    </row>
    <row r="30" spans="1:21" x14ac:dyDescent="0.3">
      <c r="A30" s="185" t="s">
        <v>943</v>
      </c>
      <c r="B30" s="185">
        <f>IF(B28&lt;0,B28,0)*(-1)</f>
        <v>48.130786405301464</v>
      </c>
      <c r="C30" s="185">
        <f t="shared" ref="C30:G30" si="2">IF(C28&lt;0,C28,0)*(-1)</f>
        <v>8.3004283291996046</v>
      </c>
      <c r="D30" s="185">
        <f t="shared" si="2"/>
        <v>52.124960816396886</v>
      </c>
      <c r="E30" s="185">
        <f t="shared" si="2"/>
        <v>9.2212802474306415</v>
      </c>
      <c r="F30" s="185">
        <f t="shared" si="2"/>
        <v>41.376655992502293</v>
      </c>
      <c r="G30" s="185">
        <f t="shared" si="2"/>
        <v>14.640058974657705</v>
      </c>
    </row>
    <row r="31" spans="1:21" x14ac:dyDescent="0.3">
      <c r="A31" s="185" t="s">
        <v>944</v>
      </c>
      <c r="B31" s="185">
        <f>IF(B26&lt;B27,B26,B27)</f>
        <v>46.297347844305662</v>
      </c>
      <c r="C31" s="185">
        <f t="shared" ref="C31:G31" si="3">IF(C26&lt;C27,C26,C27)</f>
        <v>43.151367758651453</v>
      </c>
      <c r="D31" s="185">
        <f t="shared" si="3"/>
        <v>48.834937529330112</v>
      </c>
      <c r="E31" s="185">
        <f t="shared" si="3"/>
        <v>51.401237404902261</v>
      </c>
      <c r="F31" s="185">
        <f t="shared" si="3"/>
        <v>177.0719375122691</v>
      </c>
      <c r="G31" s="185">
        <f t="shared" si="3"/>
        <v>72.11064481920333</v>
      </c>
    </row>
    <row r="32" spans="1:21" x14ac:dyDescent="0.3">
      <c r="A32" s="185" t="s">
        <v>945</v>
      </c>
      <c r="B32" s="201">
        <f>B28/B27</f>
        <v>-0.50970811599511945</v>
      </c>
      <c r="C32" s="201">
        <f t="shared" ref="C32:G32" si="4">C28/C27</f>
        <v>-0.1613243649459212</v>
      </c>
      <c r="D32" s="201">
        <f t="shared" si="4"/>
        <v>-0.51629371335042562</v>
      </c>
      <c r="E32" s="201">
        <f t="shared" si="4"/>
        <v>-0.15210981998989584</v>
      </c>
      <c r="F32" s="201">
        <f t="shared" si="4"/>
        <v>-0.18941140947011195</v>
      </c>
      <c r="G32" s="201">
        <f t="shared" si="4"/>
        <v>-0.16876011760602821</v>
      </c>
    </row>
    <row r="33" spans="1:7" x14ac:dyDescent="0.3">
      <c r="A33" s="185" t="s">
        <v>946</v>
      </c>
      <c r="B33" s="188">
        <f>SUM(B29:B31)+SUM(B29:B31)*0.05</f>
        <v>99.149540962087485</v>
      </c>
      <c r="C33" s="188">
        <f t="shared" ref="C33:G33" si="5">SUM(C29:C31)+SUM(C29:C31)*0.05</f>
        <v>54.024385892243615</v>
      </c>
      <c r="D33" s="188">
        <f t="shared" si="5"/>
        <v>106.00789326301334</v>
      </c>
      <c r="E33" s="188">
        <f t="shared" si="5"/>
        <v>63.653643534949545</v>
      </c>
      <c r="F33" s="188">
        <f t="shared" si="5"/>
        <v>229.37102318000996</v>
      </c>
      <c r="G33" s="188">
        <f t="shared" si="5"/>
        <v>91.088238983554092</v>
      </c>
    </row>
    <row r="55" spans="1:7" x14ac:dyDescent="0.3">
      <c r="B55" s="185" t="s">
        <v>947</v>
      </c>
      <c r="C55" s="185" t="s">
        <v>948</v>
      </c>
      <c r="D55" s="185" t="s">
        <v>949</v>
      </c>
      <c r="E55" s="185" t="s">
        <v>950</v>
      </c>
      <c r="F55" s="185" t="s">
        <v>951</v>
      </c>
      <c r="G55" s="185" t="s">
        <v>952</v>
      </c>
    </row>
    <row r="56" spans="1:7" x14ac:dyDescent="0.3">
      <c r="A56" s="185" t="s">
        <v>953</v>
      </c>
      <c r="B56" s="185">
        <v>0.23152418830841409</v>
      </c>
      <c r="C56" s="185">
        <v>0.1168327080943837</v>
      </c>
      <c r="D56" s="185">
        <v>0.15810844330435489</v>
      </c>
      <c r="E56" s="185">
        <v>0.12691269901632601</v>
      </c>
      <c r="F56" s="185">
        <v>0.56033510583632185</v>
      </c>
      <c r="G56" s="185">
        <v>0.17925305183842091</v>
      </c>
    </row>
    <row r="57" spans="1:7" x14ac:dyDescent="0.3">
      <c r="A57" s="185" t="s">
        <v>954</v>
      </c>
      <c r="B57" s="185">
        <v>46.297347844305662</v>
      </c>
      <c r="C57" s="185">
        <v>43.151367758651453</v>
      </c>
      <c r="D57" s="185">
        <v>48.834937529330112</v>
      </c>
      <c r="E57" s="185">
        <v>51.401237404902261</v>
      </c>
      <c r="F57" s="185">
        <v>177.0719375122691</v>
      </c>
      <c r="G57" s="185">
        <v>72.11064481920333</v>
      </c>
    </row>
    <row r="58" spans="1:7" x14ac:dyDescent="0.3">
      <c r="A58" s="185" t="s">
        <v>955</v>
      </c>
      <c r="B58" s="185">
        <v>45.255180214560312</v>
      </c>
      <c r="C58" s="185">
        <v>42.942549777206878</v>
      </c>
      <c r="D58" s="185">
        <v>48.39169412539232</v>
      </c>
      <c r="E58" s="185">
        <v>51.174489473276907</v>
      </c>
      <c r="F58" s="185">
        <v>175.47057091230619</v>
      </c>
      <c r="G58" s="185">
        <v>71.766373483478432</v>
      </c>
    </row>
    <row r="59" spans="1:7" x14ac:dyDescent="0.3">
      <c r="A59" s="185" t="s">
        <v>956</v>
      </c>
      <c r="B59" s="185">
        <v>1696.7250783099209</v>
      </c>
      <c r="C59" s="185">
        <v>513.29480567462679</v>
      </c>
      <c r="D59" s="185">
        <v>699.59268771669417</v>
      </c>
      <c r="E59" s="185">
        <v>526.19524652970313</v>
      </c>
      <c r="F59" s="185">
        <v>3004.8137310764</v>
      </c>
      <c r="G59" s="185">
        <v>755.86333367364944</v>
      </c>
    </row>
    <row r="60" spans="1:7" x14ac:dyDescent="0.3">
      <c r="A60" s="185" t="s">
        <v>957</v>
      </c>
      <c r="B60" s="185">
        <v>678.99354535914836</v>
      </c>
      <c r="C60" s="185">
        <v>677.96618430176477</v>
      </c>
      <c r="D60" s="185">
        <v>839.64011858744243</v>
      </c>
      <c r="E60" s="185">
        <v>792.36664616674648</v>
      </c>
      <c r="F60" s="185">
        <v>2593.629377033958</v>
      </c>
      <c r="G60" s="185">
        <v>1128.207528835545</v>
      </c>
    </row>
    <row r="61" spans="1:7" x14ac:dyDescent="0.3">
      <c r="A61" s="185" t="s">
        <v>958</v>
      </c>
      <c r="B61" s="185">
        <v>2.1167723437212072E-2</v>
      </c>
      <c r="C61" s="185">
        <v>1.9469066372208011E-2</v>
      </c>
      <c r="D61" s="185">
        <v>1.673226283958177E-2</v>
      </c>
      <c r="E61" s="185">
        <v>2.1565101151145249E-2</v>
      </c>
      <c r="F61" s="185">
        <v>7.7465078290226932E-2</v>
      </c>
      <c r="G61" s="185">
        <v>3.2904401602018157E-2</v>
      </c>
    </row>
    <row r="62" spans="1:7" x14ac:dyDescent="0.3">
      <c r="A62" s="185" t="s">
        <v>959</v>
      </c>
      <c r="B62" s="185">
        <v>4.7229055470329011E-2</v>
      </c>
      <c r="C62" s="185">
        <v>2.6613268847794819E-2</v>
      </c>
      <c r="D62" s="185">
        <v>3.3723203459168558E-2</v>
      </c>
      <c r="E62" s="185">
        <v>2.8838347625932639E-2</v>
      </c>
      <c r="F62" s="185">
        <v>0.1404439747939222</v>
      </c>
      <c r="G62" s="185">
        <v>4.0918623868466418E-2</v>
      </c>
    </row>
    <row r="63" spans="1:7" x14ac:dyDescent="0.3">
      <c r="A63" s="185" t="s">
        <v>960</v>
      </c>
      <c r="B63" s="185">
        <v>0.46280725334419098</v>
      </c>
      <c r="C63" s="185">
        <v>0.25108704371767648</v>
      </c>
      <c r="D63" s="185">
        <v>0.32583598747352249</v>
      </c>
      <c r="E63" s="185">
        <v>0.26622560059165362</v>
      </c>
      <c r="F63" s="185">
        <v>1.321552383615163</v>
      </c>
      <c r="G63" s="185">
        <v>0.38170034914648993</v>
      </c>
    </row>
    <row r="64" spans="1:7" x14ac:dyDescent="0.3">
      <c r="A64" s="185" t="s">
        <v>961</v>
      </c>
      <c r="B64" s="185">
        <v>8.2756551737372055E-8</v>
      </c>
      <c r="C64" s="185">
        <v>2.4574385388311759E-8</v>
      </c>
      <c r="D64" s="185">
        <v>2.1687429196772069E-8</v>
      </c>
      <c r="E64" s="185">
        <v>2.2618463341381449E-8</v>
      </c>
      <c r="F64" s="185">
        <v>3.965185313422557E-7</v>
      </c>
      <c r="G64" s="185">
        <v>3.4139243379290607E-8</v>
      </c>
    </row>
    <row r="65" spans="1:7" x14ac:dyDescent="0.3">
      <c r="A65" s="185" t="s">
        <v>962</v>
      </c>
      <c r="B65" s="185">
        <v>1.406483010113624E-6</v>
      </c>
      <c r="C65" s="185">
        <v>4.9145973494784101E-7</v>
      </c>
      <c r="D65" s="185">
        <v>4.594522442712327E-7</v>
      </c>
      <c r="E65" s="185">
        <v>5.076547041075583E-7</v>
      </c>
      <c r="F65" s="185">
        <v>2.84840365615471E-6</v>
      </c>
      <c r="G65" s="185">
        <v>7.5470362877527187E-7</v>
      </c>
    </row>
    <row r="66" spans="1:7" x14ac:dyDescent="0.3">
      <c r="A66" s="185" t="s">
        <v>963</v>
      </c>
      <c r="B66" s="185">
        <v>3.3459111204274361</v>
      </c>
      <c r="C66" s="185">
        <v>2.762552247807279</v>
      </c>
      <c r="D66" s="185">
        <v>3.8236934904769329</v>
      </c>
      <c r="E66" s="185">
        <v>3.1687617060191582</v>
      </c>
      <c r="F66" s="185">
        <v>11.78027951700682</v>
      </c>
      <c r="G66" s="185">
        <v>4.6251634537655191</v>
      </c>
    </row>
    <row r="67" spans="1:7" x14ac:dyDescent="0.3">
      <c r="A67" s="185" t="s">
        <v>964</v>
      </c>
      <c r="B67" s="185">
        <v>3060.469683701941</v>
      </c>
      <c r="C67" s="185">
        <v>121.5983732225374</v>
      </c>
      <c r="D67" s="185">
        <v>157.14070682303469</v>
      </c>
      <c r="E67" s="185">
        <v>108.3444870111075</v>
      </c>
      <c r="F67" s="185">
        <v>6213.3214038938231</v>
      </c>
      <c r="G67" s="185">
        <v>158.02224388411099</v>
      </c>
    </row>
    <row r="68" spans="1:7" x14ac:dyDescent="0.3">
      <c r="A68" s="185" t="s">
        <v>965</v>
      </c>
      <c r="B68" s="185">
        <v>1.6839486433437949E-3</v>
      </c>
      <c r="C68" s="185">
        <v>4.5742124515917558E-4</v>
      </c>
      <c r="D68" s="185">
        <v>3.1726068545343271E-4</v>
      </c>
      <c r="E68" s="185">
        <v>4.7219120005654648E-4</v>
      </c>
      <c r="F68" s="185">
        <v>1.802045880237489E-3</v>
      </c>
      <c r="G68" s="185">
        <v>7.0944105322762131E-4</v>
      </c>
    </row>
    <row r="69" spans="1:7" x14ac:dyDescent="0.3">
      <c r="A69" s="185" t="s">
        <v>966</v>
      </c>
      <c r="B69" s="185">
        <v>4.8796079300591936E-6</v>
      </c>
      <c r="C69" s="185">
        <v>4.6779352276106147E-6</v>
      </c>
      <c r="D69" s="185">
        <v>4.0555649303811676E-6</v>
      </c>
      <c r="E69" s="185">
        <v>5.0348980753325906E-6</v>
      </c>
      <c r="F69" s="185">
        <v>1.7356543517622512E-5</v>
      </c>
      <c r="G69" s="185">
        <v>7.6068300601119303E-6</v>
      </c>
    </row>
    <row r="70" spans="1:7" x14ac:dyDescent="0.3">
      <c r="A70" s="185" t="s">
        <v>967</v>
      </c>
      <c r="B70" s="185">
        <v>2.3360855635910208E-6</v>
      </c>
      <c r="C70" s="185">
        <v>9.8175416959968318E-7</v>
      </c>
      <c r="D70" s="185">
        <v>1.514180836673601E-6</v>
      </c>
      <c r="E70" s="185">
        <v>9.6145125834039272E-7</v>
      </c>
      <c r="F70" s="185">
        <v>6.5126339739587638E-6</v>
      </c>
      <c r="G70" s="185">
        <v>1.353708838488304E-6</v>
      </c>
    </row>
    <row r="71" spans="1:7" x14ac:dyDescent="0.3">
      <c r="A71" s="185" t="s">
        <v>968</v>
      </c>
      <c r="B71" s="185">
        <v>0.17162830357063241</v>
      </c>
      <c r="C71" s="185">
        <v>9.4452176086707432E-2</v>
      </c>
      <c r="D71" s="185">
        <v>0.1203932905450255</v>
      </c>
      <c r="E71" s="185">
        <v>0.1019000197290289</v>
      </c>
      <c r="F71" s="185">
        <v>0.48417457978160061</v>
      </c>
      <c r="G71" s="185">
        <v>0.145294249575249</v>
      </c>
    </row>
    <row r="72" spans="1:7" x14ac:dyDescent="0.3">
      <c r="A72" s="185" t="s">
        <v>969</v>
      </c>
      <c r="B72" s="185">
        <v>18.897235159216219</v>
      </c>
      <c r="C72" s="185">
        <v>11.192501949181089</v>
      </c>
      <c r="D72" s="185">
        <v>14.385324868596911</v>
      </c>
      <c r="E72" s="185">
        <v>12.120535713953331</v>
      </c>
      <c r="F72" s="185">
        <v>59.879245561064323</v>
      </c>
      <c r="G72" s="185">
        <v>16.831040444136711</v>
      </c>
    </row>
  </sheetData>
  <mergeCells count="6">
    <mergeCell ref="B21:C21"/>
    <mergeCell ref="D21:E21"/>
    <mergeCell ref="F21:G21"/>
    <mergeCell ref="B24:C24"/>
    <mergeCell ref="D24:E24"/>
    <mergeCell ref="F24:G24"/>
  </mergeCells>
  <conditionalFormatting sqref="B2:C2">
    <cfRule type="colorScale" priority="53">
      <colorScale>
        <cfvo type="min"/>
        <cfvo type="percentile" val="50"/>
        <cfvo type="max"/>
        <color rgb="FF63BE7B"/>
        <color rgb="FFFFEB84"/>
        <color rgb="FFF8696B"/>
      </colorScale>
    </cfRule>
  </conditionalFormatting>
  <conditionalFormatting sqref="B3:C3">
    <cfRule type="colorScale" priority="52">
      <colorScale>
        <cfvo type="min"/>
        <cfvo type="percentile" val="50"/>
        <cfvo type="max"/>
        <color rgb="FF63BE7B"/>
        <color rgb="FFFFEB84"/>
        <color rgb="FFF8696B"/>
      </colorScale>
    </cfRule>
  </conditionalFormatting>
  <conditionalFormatting sqref="B4:C4">
    <cfRule type="colorScale" priority="51">
      <colorScale>
        <cfvo type="min"/>
        <cfvo type="percentile" val="50"/>
        <cfvo type="max"/>
        <color rgb="FF63BE7B"/>
        <color rgb="FFFFEB84"/>
        <color rgb="FFF8696B"/>
      </colorScale>
    </cfRule>
  </conditionalFormatting>
  <conditionalFormatting sqref="B5:C5">
    <cfRule type="colorScale" priority="50">
      <colorScale>
        <cfvo type="min"/>
        <cfvo type="percentile" val="50"/>
        <cfvo type="max"/>
        <color rgb="FF63BE7B"/>
        <color rgb="FFFFEB84"/>
        <color rgb="FFF8696B"/>
      </colorScale>
    </cfRule>
  </conditionalFormatting>
  <conditionalFormatting sqref="B6:C6">
    <cfRule type="colorScale" priority="49">
      <colorScale>
        <cfvo type="min"/>
        <cfvo type="percentile" val="50"/>
        <cfvo type="max"/>
        <color rgb="FF63BE7B"/>
        <color rgb="FFFFEB84"/>
        <color rgb="FFF8696B"/>
      </colorScale>
    </cfRule>
  </conditionalFormatting>
  <conditionalFormatting sqref="B7:C7">
    <cfRule type="colorScale" priority="48">
      <colorScale>
        <cfvo type="min"/>
        <cfvo type="percentile" val="50"/>
        <cfvo type="max"/>
        <color rgb="FF63BE7B"/>
        <color rgb="FFFFEB84"/>
        <color rgb="FFF8696B"/>
      </colorScale>
    </cfRule>
  </conditionalFormatting>
  <conditionalFormatting sqref="B8:C8">
    <cfRule type="colorScale" priority="47">
      <colorScale>
        <cfvo type="min"/>
        <cfvo type="percentile" val="50"/>
        <cfvo type="max"/>
        <color rgb="FF63BE7B"/>
        <color rgb="FFFFEB84"/>
        <color rgb="FFF8696B"/>
      </colorScale>
    </cfRule>
  </conditionalFormatting>
  <conditionalFormatting sqref="B9:C9">
    <cfRule type="colorScale" priority="46">
      <colorScale>
        <cfvo type="min"/>
        <cfvo type="percentile" val="50"/>
        <cfvo type="max"/>
        <color rgb="FF63BE7B"/>
        <color rgb="FFFFEB84"/>
        <color rgb="FFF8696B"/>
      </colorScale>
    </cfRule>
  </conditionalFormatting>
  <conditionalFormatting sqref="B10:C10">
    <cfRule type="colorScale" priority="45">
      <colorScale>
        <cfvo type="min"/>
        <cfvo type="percentile" val="50"/>
        <cfvo type="max"/>
        <color rgb="FF63BE7B"/>
        <color rgb="FFFFEB84"/>
        <color rgb="FFF8696B"/>
      </colorScale>
    </cfRule>
  </conditionalFormatting>
  <conditionalFormatting sqref="B11:C11">
    <cfRule type="colorScale" priority="44">
      <colorScale>
        <cfvo type="min"/>
        <cfvo type="percentile" val="50"/>
        <cfvo type="max"/>
        <color rgb="FF63BE7B"/>
        <color rgb="FFFFEB84"/>
        <color rgb="FFF8696B"/>
      </colorScale>
    </cfRule>
  </conditionalFormatting>
  <conditionalFormatting sqref="B12:C12">
    <cfRule type="colorScale" priority="43">
      <colorScale>
        <cfvo type="min"/>
        <cfvo type="percentile" val="50"/>
        <cfvo type="max"/>
        <color rgb="FF63BE7B"/>
        <color rgb="FFFFEB84"/>
        <color rgb="FFF8696B"/>
      </colorScale>
    </cfRule>
  </conditionalFormatting>
  <conditionalFormatting sqref="B13:C13">
    <cfRule type="colorScale" priority="42">
      <colorScale>
        <cfvo type="min"/>
        <cfvo type="percentile" val="50"/>
        <cfvo type="max"/>
        <color rgb="FF63BE7B"/>
        <color rgb="FFFFEB84"/>
        <color rgb="FFF8696B"/>
      </colorScale>
    </cfRule>
  </conditionalFormatting>
  <conditionalFormatting sqref="B14:C14">
    <cfRule type="colorScale" priority="41">
      <colorScale>
        <cfvo type="min"/>
        <cfvo type="percentile" val="50"/>
        <cfvo type="max"/>
        <color rgb="FF63BE7B"/>
        <color rgb="FFFFEB84"/>
        <color rgb="FFF8696B"/>
      </colorScale>
    </cfRule>
  </conditionalFormatting>
  <conditionalFormatting sqref="B15:C15">
    <cfRule type="colorScale" priority="40">
      <colorScale>
        <cfvo type="min"/>
        <cfvo type="percentile" val="50"/>
        <cfvo type="max"/>
        <color rgb="FF63BE7B"/>
        <color rgb="FFFFEB84"/>
        <color rgb="FFF8696B"/>
      </colorScale>
    </cfRule>
  </conditionalFormatting>
  <conditionalFormatting sqref="B16:C16">
    <cfRule type="colorScale" priority="39">
      <colorScale>
        <cfvo type="min"/>
        <cfvo type="percentile" val="50"/>
        <cfvo type="max"/>
        <color rgb="FF63BE7B"/>
        <color rgb="FFFFEB84"/>
        <color rgb="FFF8696B"/>
      </colorScale>
    </cfRule>
  </conditionalFormatting>
  <conditionalFormatting sqref="B17:C17">
    <cfRule type="colorScale" priority="38">
      <colorScale>
        <cfvo type="min"/>
        <cfvo type="percentile" val="50"/>
        <cfvo type="max"/>
        <color rgb="FF63BE7B"/>
        <color rgb="FFFFEB84"/>
        <color rgb="FFF8696B"/>
      </colorScale>
    </cfRule>
  </conditionalFormatting>
  <conditionalFormatting sqref="B18:C18">
    <cfRule type="colorScale" priority="37">
      <colorScale>
        <cfvo type="min"/>
        <cfvo type="percentile" val="50"/>
        <cfvo type="max"/>
        <color rgb="FF63BE7B"/>
        <color rgb="FFFFEB84"/>
        <color rgb="FFF8696B"/>
      </colorScale>
    </cfRule>
  </conditionalFormatting>
  <conditionalFormatting sqref="D2:E2">
    <cfRule type="colorScale" priority="36">
      <colorScale>
        <cfvo type="min"/>
        <cfvo type="percentile" val="50"/>
        <cfvo type="max"/>
        <color rgb="FF63BE7B"/>
        <color rgb="FFFFEB84"/>
        <color rgb="FFF8696B"/>
      </colorScale>
    </cfRule>
  </conditionalFormatting>
  <conditionalFormatting sqref="D3:E3">
    <cfRule type="colorScale" priority="35">
      <colorScale>
        <cfvo type="min"/>
        <cfvo type="percentile" val="50"/>
        <cfvo type="max"/>
        <color rgb="FF63BE7B"/>
        <color rgb="FFFFEB84"/>
        <color rgb="FFF8696B"/>
      </colorScale>
    </cfRule>
  </conditionalFormatting>
  <conditionalFormatting sqref="D4:E4">
    <cfRule type="colorScale" priority="34">
      <colorScale>
        <cfvo type="min"/>
        <cfvo type="percentile" val="50"/>
        <cfvo type="max"/>
        <color rgb="FF63BE7B"/>
        <color rgb="FFFFEB84"/>
        <color rgb="FFF8696B"/>
      </colorScale>
    </cfRule>
  </conditionalFormatting>
  <conditionalFormatting sqref="D5:E5">
    <cfRule type="colorScale" priority="33">
      <colorScale>
        <cfvo type="min"/>
        <cfvo type="percentile" val="50"/>
        <cfvo type="max"/>
        <color rgb="FF63BE7B"/>
        <color rgb="FFFFEB84"/>
        <color rgb="FFF8696B"/>
      </colorScale>
    </cfRule>
  </conditionalFormatting>
  <conditionalFormatting sqref="D6:E6">
    <cfRule type="colorScale" priority="32">
      <colorScale>
        <cfvo type="min"/>
        <cfvo type="percentile" val="50"/>
        <cfvo type="max"/>
        <color rgb="FF63BE7B"/>
        <color rgb="FFFFEB84"/>
        <color rgb="FFF8696B"/>
      </colorScale>
    </cfRule>
  </conditionalFormatting>
  <conditionalFormatting sqref="D7:E7">
    <cfRule type="colorScale" priority="31">
      <colorScale>
        <cfvo type="min"/>
        <cfvo type="percentile" val="50"/>
        <cfvo type="max"/>
        <color rgb="FF63BE7B"/>
        <color rgb="FFFFEB84"/>
        <color rgb="FFF8696B"/>
      </colorScale>
    </cfRule>
  </conditionalFormatting>
  <conditionalFormatting sqref="D8:E8">
    <cfRule type="colorScale" priority="30">
      <colorScale>
        <cfvo type="min"/>
        <cfvo type="percentile" val="50"/>
        <cfvo type="max"/>
        <color rgb="FF63BE7B"/>
        <color rgb="FFFFEB84"/>
        <color rgb="FFF8696B"/>
      </colorScale>
    </cfRule>
  </conditionalFormatting>
  <conditionalFormatting sqref="D9:E9">
    <cfRule type="colorScale" priority="29">
      <colorScale>
        <cfvo type="min"/>
        <cfvo type="percentile" val="50"/>
        <cfvo type="max"/>
        <color rgb="FF63BE7B"/>
        <color rgb="FFFFEB84"/>
        <color rgb="FFF8696B"/>
      </colorScale>
    </cfRule>
  </conditionalFormatting>
  <conditionalFormatting sqref="D10:E10">
    <cfRule type="colorScale" priority="28">
      <colorScale>
        <cfvo type="min"/>
        <cfvo type="percentile" val="50"/>
        <cfvo type="max"/>
        <color rgb="FF63BE7B"/>
        <color rgb="FFFFEB84"/>
        <color rgb="FFF8696B"/>
      </colorScale>
    </cfRule>
  </conditionalFormatting>
  <conditionalFormatting sqref="D11:E11">
    <cfRule type="colorScale" priority="27">
      <colorScale>
        <cfvo type="min"/>
        <cfvo type="percentile" val="50"/>
        <cfvo type="max"/>
        <color rgb="FF63BE7B"/>
        <color rgb="FFFFEB84"/>
        <color rgb="FFF8696B"/>
      </colorScale>
    </cfRule>
  </conditionalFormatting>
  <conditionalFormatting sqref="D12:E12">
    <cfRule type="colorScale" priority="26">
      <colorScale>
        <cfvo type="min"/>
        <cfvo type="percentile" val="50"/>
        <cfvo type="max"/>
        <color rgb="FF63BE7B"/>
        <color rgb="FFFFEB84"/>
        <color rgb="FFF8696B"/>
      </colorScale>
    </cfRule>
  </conditionalFormatting>
  <conditionalFormatting sqref="D13:E13">
    <cfRule type="colorScale" priority="25">
      <colorScale>
        <cfvo type="min"/>
        <cfvo type="percentile" val="50"/>
        <cfvo type="max"/>
        <color rgb="FF63BE7B"/>
        <color rgb="FFFFEB84"/>
        <color rgb="FFF8696B"/>
      </colorScale>
    </cfRule>
  </conditionalFormatting>
  <conditionalFormatting sqref="D14:E14">
    <cfRule type="colorScale" priority="24">
      <colorScale>
        <cfvo type="min"/>
        <cfvo type="percentile" val="50"/>
        <cfvo type="max"/>
        <color rgb="FF63BE7B"/>
        <color rgb="FFFFEB84"/>
        <color rgb="FFF8696B"/>
      </colorScale>
    </cfRule>
  </conditionalFormatting>
  <conditionalFormatting sqref="D15:E15">
    <cfRule type="colorScale" priority="23">
      <colorScale>
        <cfvo type="min"/>
        <cfvo type="percentile" val="50"/>
        <cfvo type="max"/>
        <color rgb="FF63BE7B"/>
        <color rgb="FFFFEB84"/>
        <color rgb="FFF8696B"/>
      </colorScale>
    </cfRule>
  </conditionalFormatting>
  <conditionalFormatting sqref="D16:E16">
    <cfRule type="colorScale" priority="22">
      <colorScale>
        <cfvo type="min"/>
        <cfvo type="percentile" val="50"/>
        <cfvo type="max"/>
        <color rgb="FF63BE7B"/>
        <color rgb="FFFFEB84"/>
        <color rgb="FFF8696B"/>
      </colorScale>
    </cfRule>
  </conditionalFormatting>
  <conditionalFormatting sqref="D17:E17">
    <cfRule type="colorScale" priority="21">
      <colorScale>
        <cfvo type="min"/>
        <cfvo type="percentile" val="50"/>
        <cfvo type="max"/>
        <color rgb="FF63BE7B"/>
        <color rgb="FFFFEB84"/>
        <color rgb="FFF8696B"/>
      </colorScale>
    </cfRule>
  </conditionalFormatting>
  <conditionalFormatting sqref="D18:E18">
    <cfRule type="colorScale" priority="20">
      <colorScale>
        <cfvo type="min"/>
        <cfvo type="percentile" val="50"/>
        <cfvo type="max"/>
        <color rgb="FF63BE7B"/>
        <color rgb="FFFFEB84"/>
        <color rgb="FFF8696B"/>
      </colorScale>
    </cfRule>
  </conditionalFormatting>
  <conditionalFormatting sqref="F2:G2">
    <cfRule type="colorScale" priority="19">
      <colorScale>
        <cfvo type="min"/>
        <cfvo type="percentile" val="50"/>
        <cfvo type="max"/>
        <color rgb="FF63BE7B"/>
        <color rgb="FFFFEB84"/>
        <color rgb="FFF8696B"/>
      </colorScale>
    </cfRule>
  </conditionalFormatting>
  <conditionalFormatting sqref="F3:G3">
    <cfRule type="colorScale" priority="18">
      <colorScale>
        <cfvo type="min"/>
        <cfvo type="percentile" val="50"/>
        <cfvo type="max"/>
        <color rgb="FF63BE7B"/>
        <color rgb="FFFFEB84"/>
        <color rgb="FFF8696B"/>
      </colorScale>
    </cfRule>
  </conditionalFormatting>
  <conditionalFormatting sqref="F4:G4">
    <cfRule type="colorScale" priority="17">
      <colorScale>
        <cfvo type="min"/>
        <cfvo type="percentile" val="50"/>
        <cfvo type="max"/>
        <color rgb="FF63BE7B"/>
        <color rgb="FFFFEB84"/>
        <color rgb="FFF8696B"/>
      </colorScale>
    </cfRule>
  </conditionalFormatting>
  <conditionalFormatting sqref="F5:G5">
    <cfRule type="colorScale" priority="16">
      <colorScale>
        <cfvo type="min"/>
        <cfvo type="percentile" val="50"/>
        <cfvo type="max"/>
        <color rgb="FF63BE7B"/>
        <color rgb="FFFFEB84"/>
        <color rgb="FFF8696B"/>
      </colorScale>
    </cfRule>
  </conditionalFormatting>
  <conditionalFormatting sqref="F6:G6">
    <cfRule type="colorScale" priority="15">
      <colorScale>
        <cfvo type="min"/>
        <cfvo type="percentile" val="50"/>
        <cfvo type="max"/>
        <color rgb="FF63BE7B"/>
        <color rgb="FFFFEB84"/>
        <color rgb="FFF8696B"/>
      </colorScale>
    </cfRule>
  </conditionalFormatting>
  <conditionalFormatting sqref="F7:G7">
    <cfRule type="colorScale" priority="14">
      <colorScale>
        <cfvo type="min"/>
        <cfvo type="percentile" val="50"/>
        <cfvo type="max"/>
        <color rgb="FF63BE7B"/>
        <color rgb="FFFFEB84"/>
        <color rgb="FFF8696B"/>
      </colorScale>
    </cfRule>
  </conditionalFormatting>
  <conditionalFormatting sqref="F8:G8">
    <cfRule type="colorScale" priority="13">
      <colorScale>
        <cfvo type="min"/>
        <cfvo type="percentile" val="50"/>
        <cfvo type="max"/>
        <color rgb="FF63BE7B"/>
        <color rgb="FFFFEB84"/>
        <color rgb="FFF8696B"/>
      </colorScale>
    </cfRule>
  </conditionalFormatting>
  <conditionalFormatting sqref="F9:G9">
    <cfRule type="colorScale" priority="12">
      <colorScale>
        <cfvo type="min"/>
        <cfvo type="percentile" val="50"/>
        <cfvo type="max"/>
        <color rgb="FF63BE7B"/>
        <color rgb="FFFFEB84"/>
        <color rgb="FFF8696B"/>
      </colorScale>
    </cfRule>
  </conditionalFormatting>
  <conditionalFormatting sqref="F10:G10">
    <cfRule type="colorScale" priority="11">
      <colorScale>
        <cfvo type="min"/>
        <cfvo type="percentile" val="50"/>
        <cfvo type="max"/>
        <color rgb="FF63BE7B"/>
        <color rgb="FFFFEB84"/>
        <color rgb="FFF8696B"/>
      </colorScale>
    </cfRule>
  </conditionalFormatting>
  <conditionalFormatting sqref="F11:G11">
    <cfRule type="colorScale" priority="10">
      <colorScale>
        <cfvo type="min"/>
        <cfvo type="percentile" val="50"/>
        <cfvo type="max"/>
        <color rgb="FF63BE7B"/>
        <color rgb="FFFFEB84"/>
        <color rgb="FFF8696B"/>
      </colorScale>
    </cfRule>
  </conditionalFormatting>
  <conditionalFormatting sqref="F12:G12">
    <cfRule type="colorScale" priority="9">
      <colorScale>
        <cfvo type="min"/>
        <cfvo type="percentile" val="50"/>
        <cfvo type="max"/>
        <color rgb="FF63BE7B"/>
        <color rgb="FFFFEB84"/>
        <color rgb="FFF8696B"/>
      </colorScale>
    </cfRule>
  </conditionalFormatting>
  <conditionalFormatting sqref="F13:G13">
    <cfRule type="colorScale" priority="8">
      <colorScale>
        <cfvo type="min"/>
        <cfvo type="percentile" val="50"/>
        <cfvo type="max"/>
        <color rgb="FF63BE7B"/>
        <color rgb="FFFFEB84"/>
        <color rgb="FFF8696B"/>
      </colorScale>
    </cfRule>
  </conditionalFormatting>
  <conditionalFormatting sqref="F14:G14">
    <cfRule type="colorScale" priority="7">
      <colorScale>
        <cfvo type="min"/>
        <cfvo type="percentile" val="50"/>
        <cfvo type="max"/>
        <color rgb="FF63BE7B"/>
        <color rgb="FFFFEB84"/>
        <color rgb="FFF8696B"/>
      </colorScale>
    </cfRule>
  </conditionalFormatting>
  <conditionalFormatting sqref="F15:G15">
    <cfRule type="colorScale" priority="6">
      <colorScale>
        <cfvo type="min"/>
        <cfvo type="percentile" val="50"/>
        <cfvo type="max"/>
        <color rgb="FF63BE7B"/>
        <color rgb="FFFFEB84"/>
        <color rgb="FFF8696B"/>
      </colorScale>
    </cfRule>
  </conditionalFormatting>
  <conditionalFormatting sqref="F16:G16">
    <cfRule type="colorScale" priority="5">
      <colorScale>
        <cfvo type="min"/>
        <cfvo type="percentile" val="50"/>
        <cfvo type="max"/>
        <color rgb="FF63BE7B"/>
        <color rgb="FFFFEB84"/>
        <color rgb="FFF8696B"/>
      </colorScale>
    </cfRule>
  </conditionalFormatting>
  <conditionalFormatting sqref="F17:G17">
    <cfRule type="colorScale" priority="4">
      <colorScale>
        <cfvo type="min"/>
        <cfvo type="percentile" val="50"/>
        <cfvo type="max"/>
        <color rgb="FF63BE7B"/>
        <color rgb="FFFFEB84"/>
        <color rgb="FFF8696B"/>
      </colorScale>
    </cfRule>
  </conditionalFormatting>
  <conditionalFormatting sqref="F18:G18">
    <cfRule type="colorScale" priority="3">
      <colorScale>
        <cfvo type="min"/>
        <cfvo type="percentile" val="50"/>
        <cfvo type="max"/>
        <color rgb="FF63BE7B"/>
        <color rgb="FFFFEB84"/>
        <color rgb="FFF8696B"/>
      </colorScale>
    </cfRule>
  </conditionalFormatting>
  <conditionalFormatting sqref="K2:P18">
    <cfRule type="cellIs" dxfId="1" priority="2" operator="notBetween">
      <formula>0.1</formula>
      <formula>-0.1</formula>
    </cfRule>
  </conditionalFormatting>
  <conditionalFormatting sqref="S2:U18">
    <cfRule type="cellIs" dxfId="0" priority="1" operator="notEqual">
      <formula>TRUE</formula>
    </cfRule>
  </conditionalFormatting>
  <dataValidations count="1">
    <dataValidation type="list" allowBlank="1" showInputMessage="1" showErrorMessage="1" sqref="A23" xr:uid="{C750F837-9B40-430E-894A-458C5E4CE73B}">
      <formula1>$A$2:$A$18</formula1>
    </dataValidation>
  </dataValidation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N749"/>
  <sheetViews>
    <sheetView topLeftCell="A277" zoomScale="80" zoomScaleNormal="80" workbookViewId="0">
      <selection activeCell="E690" sqref="E690"/>
    </sheetView>
  </sheetViews>
  <sheetFormatPr baseColWidth="10" defaultColWidth="11.44140625" defaultRowHeight="13.8" x14ac:dyDescent="0.25"/>
  <cols>
    <col min="1" max="1" width="59.88671875" style="1" customWidth="1"/>
    <col min="2" max="2" width="13.6640625" style="1" bestFit="1" customWidth="1"/>
    <col min="3" max="3" width="20.44140625" style="44" customWidth="1"/>
    <col min="4" max="4" width="20.44140625" style="1" customWidth="1"/>
    <col min="5" max="5" width="37.44140625" style="7" customWidth="1"/>
    <col min="6" max="6" width="25.6640625" style="17" hidden="1" customWidth="1"/>
    <col min="7" max="7" width="24.88671875" style="17" hidden="1" customWidth="1"/>
    <col min="8" max="8" width="25.33203125" style="17" hidden="1" customWidth="1"/>
    <col min="9" max="9" width="16.44140625" style="17" hidden="1" customWidth="1"/>
    <col min="10" max="11" width="27.33203125" style="17" hidden="1" customWidth="1"/>
    <col min="12" max="12" width="0" style="1" hidden="1" customWidth="1"/>
    <col min="13" max="13" width="35.109375" style="1" customWidth="1"/>
    <col min="14" max="14" width="52.33203125" style="1" customWidth="1"/>
    <col min="15" max="16384" width="11.44140625" style="1"/>
  </cols>
  <sheetData>
    <row r="1" spans="1:13" hidden="1" x14ac:dyDescent="0.25">
      <c r="A1" s="5"/>
      <c r="B1" s="5"/>
      <c r="F1" s="219" t="s">
        <v>6</v>
      </c>
      <c r="G1" s="219"/>
      <c r="H1" s="219"/>
    </row>
    <row r="2" spans="1:13" ht="16.8" hidden="1" x14ac:dyDescent="0.25">
      <c r="A2" s="9" t="s">
        <v>7</v>
      </c>
      <c r="B2" s="8"/>
      <c r="C2" s="88"/>
      <c r="D2" s="8"/>
      <c r="E2" s="77"/>
      <c r="F2" s="36"/>
      <c r="G2" s="220" t="s">
        <v>8</v>
      </c>
      <c r="H2" s="220"/>
      <c r="I2" s="8"/>
      <c r="J2" s="8"/>
      <c r="K2" s="8"/>
      <c r="L2" s="8"/>
    </row>
    <row r="3" spans="1:13" ht="41.4" hidden="1" x14ac:dyDescent="0.25">
      <c r="A3" s="11" t="s">
        <v>9</v>
      </c>
      <c r="B3" s="11" t="s">
        <v>10</v>
      </c>
      <c r="C3" s="89" t="s">
        <v>1</v>
      </c>
      <c r="D3" s="11" t="s">
        <v>11</v>
      </c>
      <c r="E3" s="10" t="s">
        <v>12</v>
      </c>
      <c r="F3" s="35" t="s">
        <v>13</v>
      </c>
      <c r="G3" s="35" t="s">
        <v>14</v>
      </c>
      <c r="H3" s="35" t="s">
        <v>15</v>
      </c>
      <c r="I3" s="18" t="s">
        <v>16</v>
      </c>
      <c r="J3" s="18" t="s">
        <v>17</v>
      </c>
      <c r="K3" s="18" t="s">
        <v>18</v>
      </c>
      <c r="L3" s="11" t="s">
        <v>19</v>
      </c>
    </row>
    <row r="4" spans="1:13" hidden="1" x14ac:dyDescent="0.25">
      <c r="A4" s="3" t="s">
        <v>20</v>
      </c>
      <c r="B4" s="15"/>
      <c r="C4" s="73"/>
      <c r="D4" s="25"/>
      <c r="E4" s="78"/>
      <c r="F4" s="24"/>
      <c r="G4" s="24" t="str">
        <f>IF($F4="","",IF($F4="Gemessen","sehr gut",IF($F4="Berechnet","gut",IF($F4="Literaturwert","befriedigend",IF($F4="Geschätzt","schlecht",IF($F4="Keine Angabe","nicht erhoben",IF($F4="Datenbank (Gabi) | NUR UMSICHT","GaBi",IF($F4="Datenbank (ecoinvent) | NUR UMSICHT","ecoinvent"))))))))</f>
        <v/>
      </c>
      <c r="H4" s="24"/>
      <c r="I4" s="24"/>
      <c r="J4" s="2"/>
      <c r="K4" s="2"/>
      <c r="L4" s="2"/>
      <c r="M4" s="12"/>
    </row>
    <row r="5" spans="1:13" hidden="1" x14ac:dyDescent="0.25">
      <c r="A5" s="3" t="s">
        <v>21</v>
      </c>
      <c r="B5" s="15"/>
      <c r="C5" s="73"/>
      <c r="D5" s="25"/>
      <c r="E5" s="78"/>
      <c r="F5" s="24"/>
      <c r="G5" s="24"/>
      <c r="H5" s="24"/>
      <c r="I5" s="24"/>
      <c r="J5" s="2"/>
      <c r="K5" s="2"/>
      <c r="L5" s="2"/>
      <c r="M5" s="12"/>
    </row>
    <row r="6" spans="1:13" hidden="1" x14ac:dyDescent="0.25">
      <c r="A6" s="3" t="s">
        <v>22</v>
      </c>
      <c r="B6" s="15"/>
      <c r="C6" s="73"/>
      <c r="D6" s="25"/>
      <c r="E6" s="78"/>
      <c r="F6" s="24"/>
      <c r="G6" s="24" t="str">
        <f>IF($F6="","",IF($F6="Gemessen","sehr gut",IF($F6="Berechnet","gut",IF($F6="Literaturwert","befriedigend",IF($F6="Geschätzt","schlecht",IF($F6="Keine Angabe","nicht erhoben",IF($F6="Datenbank (Gabi) | NUR UMSICHT","GaBi",IF($F6="Datenbank (ecoinvent) | NUR UMSICHT","ecoinvent"))))))))</f>
        <v/>
      </c>
      <c r="H6" s="24"/>
      <c r="I6" s="24"/>
      <c r="J6" s="2"/>
      <c r="K6" s="2"/>
      <c r="L6" s="2"/>
    </row>
    <row r="7" spans="1:13" hidden="1" x14ac:dyDescent="0.25">
      <c r="A7" s="3" t="s">
        <v>23</v>
      </c>
      <c r="B7" s="15"/>
      <c r="C7" s="73"/>
      <c r="D7" s="25"/>
      <c r="E7" s="78"/>
      <c r="F7" s="24"/>
      <c r="G7" s="24"/>
      <c r="H7" s="24"/>
      <c r="I7" s="24"/>
      <c r="J7" s="2"/>
      <c r="K7" s="2"/>
      <c r="L7" s="2"/>
    </row>
    <row r="8" spans="1:13" hidden="1" x14ac:dyDescent="0.25">
      <c r="A8" s="3"/>
      <c r="B8" s="15"/>
      <c r="C8" s="73"/>
      <c r="D8" s="25"/>
      <c r="E8" s="78"/>
      <c r="F8" s="24"/>
      <c r="G8" s="24"/>
      <c r="H8" s="24"/>
      <c r="I8" s="24"/>
      <c r="J8" s="2"/>
      <c r="K8" s="2"/>
      <c r="L8" s="2"/>
    </row>
    <row r="9" spans="1:13" hidden="1" x14ac:dyDescent="0.25">
      <c r="A9" s="3"/>
      <c r="B9" s="15"/>
      <c r="C9" s="73"/>
      <c r="D9" s="25"/>
      <c r="E9" s="78"/>
      <c r="F9" s="24"/>
      <c r="G9" s="24"/>
      <c r="H9" s="24"/>
      <c r="I9" s="24"/>
      <c r="J9" s="2"/>
      <c r="K9" s="2"/>
      <c r="L9" s="2"/>
    </row>
    <row r="10" spans="1:13" hidden="1" x14ac:dyDescent="0.25">
      <c r="A10" s="3"/>
      <c r="B10" s="15"/>
      <c r="C10" s="73"/>
      <c r="D10" s="25"/>
      <c r="E10" s="78"/>
      <c r="F10" s="24"/>
      <c r="G10" s="24"/>
      <c r="H10" s="24"/>
      <c r="I10" s="24"/>
      <c r="J10" s="2"/>
      <c r="K10" s="2"/>
      <c r="L10" s="2"/>
    </row>
    <row r="11" spans="1:13" hidden="1" x14ac:dyDescent="0.25">
      <c r="A11" s="3"/>
      <c r="B11" s="15"/>
      <c r="C11" s="73"/>
      <c r="D11" s="25"/>
      <c r="E11" s="78"/>
      <c r="F11" s="24"/>
      <c r="G11" s="24"/>
      <c r="H11" s="24"/>
      <c r="I11" s="24"/>
      <c r="J11" s="2"/>
      <c r="K11" s="2"/>
      <c r="L11" s="2"/>
    </row>
    <row r="12" spans="1:13" hidden="1" x14ac:dyDescent="0.25">
      <c r="A12" s="3"/>
      <c r="B12" s="15"/>
      <c r="C12" s="73"/>
      <c r="D12" s="25"/>
      <c r="E12" s="78"/>
      <c r="F12" s="24"/>
      <c r="G12" s="24"/>
      <c r="H12" s="24"/>
      <c r="I12" s="24"/>
      <c r="J12" s="2"/>
      <c r="K12" s="2"/>
      <c r="L12" s="2"/>
    </row>
    <row r="13" spans="1:13" hidden="1" x14ac:dyDescent="0.25">
      <c r="A13" s="3"/>
      <c r="B13" s="15"/>
      <c r="C13" s="73"/>
      <c r="D13" s="25"/>
      <c r="E13" s="78"/>
      <c r="F13" s="24"/>
      <c r="G13" s="24"/>
      <c r="H13" s="24"/>
      <c r="I13" s="24"/>
      <c r="J13" s="2"/>
      <c r="K13" s="2"/>
      <c r="L13" s="2"/>
    </row>
    <row r="14" spans="1:13" hidden="1" x14ac:dyDescent="0.25">
      <c r="A14" s="3"/>
      <c r="B14" s="15"/>
      <c r="C14" s="73"/>
      <c r="D14" s="25"/>
      <c r="E14" s="78"/>
      <c r="F14" s="24"/>
      <c r="G14" s="24"/>
      <c r="H14" s="24"/>
      <c r="I14" s="24"/>
      <c r="J14" s="2"/>
      <c r="K14" s="2"/>
      <c r="L14" s="2"/>
    </row>
    <row r="15" spans="1:13" hidden="1" x14ac:dyDescent="0.25">
      <c r="A15" s="3"/>
      <c r="B15" s="15"/>
      <c r="C15" s="73"/>
      <c r="D15" s="25"/>
      <c r="E15" s="78"/>
      <c r="F15" s="24"/>
      <c r="G15" s="24"/>
      <c r="H15" s="24"/>
      <c r="I15" s="24"/>
      <c r="J15" s="2"/>
      <c r="K15" s="2"/>
      <c r="L15" s="2"/>
    </row>
    <row r="16" spans="1:13" hidden="1" x14ac:dyDescent="0.25">
      <c r="A16" s="3"/>
      <c r="B16" s="15"/>
      <c r="C16" s="73"/>
      <c r="D16" s="25"/>
      <c r="E16" s="78"/>
      <c r="F16" s="24"/>
      <c r="G16" s="24"/>
      <c r="H16" s="24"/>
      <c r="I16" s="24"/>
      <c r="J16" s="2"/>
      <c r="K16" s="2"/>
      <c r="L16" s="2"/>
    </row>
    <row r="17" spans="1:12" hidden="1" x14ac:dyDescent="0.25">
      <c r="A17" s="3"/>
      <c r="B17" s="15"/>
      <c r="C17" s="73"/>
      <c r="D17" s="25"/>
      <c r="E17" s="78"/>
      <c r="F17" s="24"/>
      <c r="G17" s="24"/>
      <c r="H17" s="24"/>
      <c r="I17" s="24"/>
      <c r="J17" s="2"/>
      <c r="K17" s="2"/>
      <c r="L17" s="2"/>
    </row>
    <row r="18" spans="1:12" s="6" customFormat="1" hidden="1" x14ac:dyDescent="0.25">
      <c r="A18" s="3"/>
      <c r="B18" s="15"/>
      <c r="C18" s="73"/>
      <c r="D18" s="23"/>
      <c r="E18" s="79"/>
      <c r="F18" s="23"/>
      <c r="G18" s="23" t="str">
        <f>IF($F18="","",IF($F18="Gemessen","sehr gut",IF($F18="Berechnet","gut",IF($F18="Literaturwert","befriedigend",IF($F18="Geschätzt","schlecht",IF($F18="Keine Angabe","nicht erhoben",IF($F18="Datenbank (Gabi) | NUR UMSICHT","GaBi",IF($F18="Datenbank (ecoinvent) | NUR UMSICHT","ecoinvent"))))))))</f>
        <v/>
      </c>
      <c r="H18" s="23"/>
      <c r="I18" s="23"/>
      <c r="J18" s="2"/>
      <c r="K18" s="2"/>
      <c r="L18" s="2"/>
    </row>
    <row r="19" spans="1:12" hidden="1" x14ac:dyDescent="0.25">
      <c r="A19" s="7"/>
      <c r="B19" s="7"/>
      <c r="F19" s="1"/>
      <c r="G19" s="1" t="str">
        <f>IF($F19="","",IF($F19="Gemessen","sehr gut",IF($F19="Berechnet","gut",IF($F19="Literaturwert","befriedigend",IF($F19="Geschätzt","schlecht",IF($F19="Keine Angabe","nicht erhoben",IF($F19="Datenbank (Gabi) | NUR UMSICHT","GaBi",IF($F19="Datenbank (ecoinvent) | NUR UMSICHT","ecoinvent"))))))))</f>
        <v/>
      </c>
      <c r="H19" s="1"/>
      <c r="I19" s="1"/>
      <c r="J19" s="21"/>
      <c r="K19" s="43"/>
    </row>
    <row r="20" spans="1:12" ht="41.4" hidden="1" x14ac:dyDescent="0.25">
      <c r="A20" s="10" t="s">
        <v>24</v>
      </c>
      <c r="B20" s="11" t="s">
        <v>10</v>
      </c>
      <c r="C20" s="89" t="s">
        <v>1</v>
      </c>
      <c r="D20" s="11" t="s">
        <v>11</v>
      </c>
      <c r="E20" s="10" t="s">
        <v>12</v>
      </c>
      <c r="F20" s="35" t="s">
        <v>13</v>
      </c>
      <c r="G20" s="35" t="s">
        <v>14</v>
      </c>
      <c r="H20" s="35" t="s">
        <v>15</v>
      </c>
      <c r="I20" s="18" t="s">
        <v>16</v>
      </c>
      <c r="J20" s="18" t="s">
        <v>17</v>
      </c>
      <c r="K20" s="18" t="s">
        <v>18</v>
      </c>
      <c r="L20" s="11" t="s">
        <v>19</v>
      </c>
    </row>
    <row r="21" spans="1:12" hidden="1" x14ac:dyDescent="0.25">
      <c r="A21" s="66" t="s">
        <v>22</v>
      </c>
      <c r="B21" s="11"/>
      <c r="C21" s="89"/>
      <c r="D21" s="11"/>
      <c r="E21" s="10"/>
      <c r="F21" s="35"/>
      <c r="G21" s="35"/>
      <c r="H21" s="35"/>
      <c r="I21" s="18"/>
      <c r="J21" s="18"/>
      <c r="K21" s="18"/>
      <c r="L21" s="11"/>
    </row>
    <row r="22" spans="1:12" hidden="1" x14ac:dyDescent="0.25">
      <c r="A22" s="66" t="s">
        <v>25</v>
      </c>
      <c r="B22" s="11"/>
      <c r="C22" s="89"/>
      <c r="D22" s="11"/>
      <c r="E22" s="10"/>
      <c r="F22" s="35"/>
      <c r="G22" s="35"/>
      <c r="H22" s="35"/>
      <c r="I22" s="18"/>
      <c r="J22" s="18"/>
      <c r="K22" s="18"/>
      <c r="L22" s="11"/>
    </row>
    <row r="23" spans="1:12" hidden="1" x14ac:dyDescent="0.25">
      <c r="A23" s="47" t="s">
        <v>26</v>
      </c>
      <c r="C23" s="73"/>
      <c r="D23" s="25"/>
      <c r="E23" s="78"/>
      <c r="F23" s="24"/>
      <c r="G23" s="24" t="str">
        <f>IF($F23="","",IF($F23="Gemessen","sehr gut",IF($F23="Berechnet","gut",IF($F23="Literaturwert","befriedigend",IF($F23="Geschätzt","schlecht",IF($F23="Keine Angabe","nicht erhoben",IF($F23="Datenbank (Gabi) | NUR UMSICHT","GaBi",IF($F23="Datenbank (ecoinvent) | NUR UMSICHT","ecoinvent"))))))))</f>
        <v/>
      </c>
      <c r="H23" s="19"/>
      <c r="I23" s="19"/>
      <c r="J23" s="29"/>
      <c r="K23" s="29"/>
      <c r="L23" s="2"/>
    </row>
    <row r="24" spans="1:12" hidden="1" x14ac:dyDescent="0.25">
      <c r="A24" s="4" t="s">
        <v>27</v>
      </c>
      <c r="B24" s="4" t="s">
        <v>28</v>
      </c>
      <c r="C24" s="73"/>
      <c r="D24" s="25"/>
      <c r="E24" s="78"/>
      <c r="F24" s="24"/>
      <c r="G24" s="24" t="str">
        <f t="shared" ref="G24" si="0">IF($F24="","",IF($F24="Gemessen","sehr gut",IF($F24="Berechnet","gut",IF($F24="Literaturwert","befriedigend",IF($F24="Geschätzt","schlecht",IF($F24="Keine Angabe","nicht erhoben",IF($F24="Datenbank (Gabi) | NUR UMSICHT","GaBi",IF($F24="Datenbank (ecoinvent) | NUR UMSICHT","ecoinvent"))))))))</f>
        <v/>
      </c>
      <c r="H24" s="19"/>
      <c r="I24" s="19"/>
      <c r="J24" s="29"/>
      <c r="K24" s="29"/>
      <c r="L24" s="2"/>
    </row>
    <row r="25" spans="1:12" hidden="1" x14ac:dyDescent="0.25">
      <c r="A25" s="4" t="s">
        <v>29</v>
      </c>
      <c r="B25" s="4" t="s">
        <v>28</v>
      </c>
      <c r="C25" s="73"/>
      <c r="D25" s="25"/>
      <c r="E25" s="78"/>
      <c r="F25" s="24"/>
      <c r="G25" s="24"/>
      <c r="H25" s="19"/>
      <c r="I25" s="19"/>
      <c r="J25" s="29"/>
      <c r="K25" s="29"/>
      <c r="L25" s="2"/>
    </row>
    <row r="26" spans="1:12" hidden="1" x14ac:dyDescent="0.25">
      <c r="A26" s="75" t="s">
        <v>30</v>
      </c>
      <c r="B26" s="4" t="s">
        <v>28</v>
      </c>
      <c r="C26" s="73"/>
      <c r="D26" s="25"/>
      <c r="E26" s="78"/>
      <c r="F26" s="24"/>
      <c r="G26" s="24"/>
      <c r="H26" s="19"/>
      <c r="I26" s="19"/>
      <c r="J26" s="29"/>
      <c r="K26" s="29"/>
      <c r="L26" s="2"/>
    </row>
    <row r="27" spans="1:12" hidden="1" x14ac:dyDescent="0.25">
      <c r="A27" s="75" t="s">
        <v>31</v>
      </c>
      <c r="B27" s="4" t="s">
        <v>28</v>
      </c>
      <c r="C27" s="73"/>
      <c r="D27" s="25"/>
      <c r="E27" s="78"/>
      <c r="F27" s="24"/>
      <c r="G27" s="24"/>
      <c r="H27" s="19"/>
      <c r="I27" s="19"/>
      <c r="J27" s="29"/>
      <c r="K27" s="29"/>
      <c r="L27" s="2"/>
    </row>
    <row r="28" spans="1:12" s="6" customFormat="1" hidden="1" x14ac:dyDescent="0.25">
      <c r="A28" s="4" t="s">
        <v>32</v>
      </c>
      <c r="B28" s="4" t="s">
        <v>33</v>
      </c>
      <c r="C28" s="73"/>
      <c r="D28" s="33"/>
      <c r="E28" s="78"/>
      <c r="F28" s="24"/>
      <c r="G28" s="24"/>
      <c r="H28" s="19"/>
      <c r="I28" s="19"/>
      <c r="J28" s="49"/>
      <c r="K28" s="49"/>
      <c r="L28" s="2"/>
    </row>
    <row r="29" spans="1:12" s="6" customFormat="1" hidden="1" x14ac:dyDescent="0.25">
      <c r="A29" s="4" t="s">
        <v>34</v>
      </c>
      <c r="B29" s="4" t="s">
        <v>33</v>
      </c>
      <c r="C29" s="73"/>
      <c r="D29" s="33"/>
      <c r="E29" s="78"/>
      <c r="F29" s="24"/>
      <c r="G29" s="24"/>
      <c r="H29" s="19"/>
      <c r="I29" s="19"/>
      <c r="J29" s="49"/>
      <c r="K29" s="49"/>
      <c r="L29" s="2"/>
    </row>
    <row r="30" spans="1:12" s="6" customFormat="1" hidden="1" x14ac:dyDescent="0.25">
      <c r="A30" s="4"/>
      <c r="B30" s="3"/>
      <c r="C30" s="73"/>
      <c r="D30" s="33"/>
      <c r="E30" s="78"/>
      <c r="F30" s="24"/>
      <c r="G30" s="24"/>
      <c r="H30" s="19"/>
      <c r="I30" s="19"/>
      <c r="J30" s="49"/>
      <c r="K30" s="49"/>
      <c r="L30" s="2"/>
    </row>
    <row r="31" spans="1:12" s="6" customFormat="1" hidden="1" x14ac:dyDescent="0.25">
      <c r="A31" s="4"/>
      <c r="B31" s="3"/>
      <c r="C31" s="73"/>
      <c r="D31" s="33"/>
      <c r="E31" s="78"/>
      <c r="F31" s="24"/>
      <c r="G31" s="24"/>
      <c r="H31" s="19"/>
      <c r="I31" s="19"/>
      <c r="J31" s="49"/>
      <c r="K31" s="49"/>
      <c r="L31" s="2"/>
    </row>
    <row r="32" spans="1:12" s="6" customFormat="1" hidden="1" x14ac:dyDescent="0.25">
      <c r="A32" s="4"/>
      <c r="B32" s="3"/>
      <c r="C32" s="73"/>
      <c r="D32" s="33"/>
      <c r="E32" s="78"/>
      <c r="F32" s="24"/>
      <c r="G32" s="24"/>
      <c r="H32" s="19"/>
      <c r="I32" s="19"/>
      <c r="J32" s="49"/>
      <c r="K32" s="49"/>
      <c r="L32" s="2"/>
    </row>
    <row r="33" spans="1:12" s="6" customFormat="1" hidden="1" x14ac:dyDescent="0.25">
      <c r="A33" s="4"/>
      <c r="B33" s="3"/>
      <c r="C33" s="73"/>
      <c r="D33" s="33"/>
      <c r="E33" s="78"/>
      <c r="F33" s="24"/>
      <c r="G33" s="24"/>
      <c r="H33" s="19"/>
      <c r="I33" s="19"/>
      <c r="J33" s="49"/>
      <c r="K33" s="49"/>
      <c r="L33" s="2"/>
    </row>
    <row r="34" spans="1:12" s="6" customFormat="1" hidden="1" x14ac:dyDescent="0.25">
      <c r="A34" s="4"/>
      <c r="B34" s="3"/>
      <c r="C34" s="73"/>
      <c r="D34" s="33"/>
      <c r="E34" s="78"/>
      <c r="F34" s="24"/>
      <c r="G34" s="24"/>
      <c r="H34" s="19"/>
      <c r="I34" s="19"/>
      <c r="J34" s="49"/>
      <c r="K34" s="49"/>
      <c r="L34" s="2"/>
    </row>
    <row r="35" spans="1:12" s="6" customFormat="1" hidden="1" x14ac:dyDescent="0.25">
      <c r="A35" s="4"/>
      <c r="B35" s="3"/>
      <c r="C35" s="73"/>
      <c r="D35" s="33"/>
      <c r="E35" s="78"/>
      <c r="F35" s="24"/>
      <c r="G35" s="24"/>
      <c r="H35" s="19"/>
      <c r="I35" s="19"/>
      <c r="J35" s="49"/>
      <c r="K35" s="49"/>
      <c r="L35" s="2"/>
    </row>
    <row r="36" spans="1:12" s="6" customFormat="1" hidden="1" x14ac:dyDescent="0.25">
      <c r="A36" s="4"/>
      <c r="B36" s="3"/>
      <c r="C36" s="73"/>
      <c r="D36" s="33"/>
      <c r="E36" s="78"/>
      <c r="F36" s="24"/>
      <c r="G36" s="24"/>
      <c r="H36" s="19"/>
      <c r="I36" s="19"/>
      <c r="J36" s="49"/>
      <c r="K36" s="49"/>
      <c r="L36" s="2"/>
    </row>
    <row r="37" spans="1:12" s="6" customFormat="1" hidden="1" x14ac:dyDescent="0.25">
      <c r="A37" s="4"/>
      <c r="B37" s="3"/>
      <c r="C37" s="73"/>
      <c r="D37" s="33"/>
      <c r="E37" s="78"/>
      <c r="F37" s="24"/>
      <c r="G37" s="24"/>
      <c r="H37" s="19"/>
      <c r="I37" s="19"/>
      <c r="J37" s="49"/>
      <c r="K37" s="49"/>
      <c r="L37" s="2"/>
    </row>
    <row r="38" spans="1:12" s="6" customFormat="1" hidden="1" x14ac:dyDescent="0.25">
      <c r="A38" s="46" t="s">
        <v>35</v>
      </c>
      <c r="B38" s="49"/>
      <c r="C38" s="73"/>
      <c r="D38" s="33"/>
      <c r="E38" s="78"/>
      <c r="F38" s="24"/>
      <c r="G38" s="24"/>
      <c r="H38" s="19"/>
      <c r="I38" s="19"/>
      <c r="J38" s="14"/>
      <c r="K38" s="14"/>
      <c r="L38" s="2"/>
    </row>
    <row r="39" spans="1:12" s="6" customFormat="1" hidden="1" x14ac:dyDescent="0.25">
      <c r="A39" s="4" t="s">
        <v>36</v>
      </c>
      <c r="B39" s="4" t="s">
        <v>37</v>
      </c>
      <c r="C39" s="73"/>
      <c r="D39" s="33"/>
      <c r="E39" s="78"/>
      <c r="F39" s="24"/>
      <c r="G39" s="24"/>
      <c r="H39" s="19"/>
      <c r="I39" s="19"/>
      <c r="J39" s="14"/>
      <c r="K39" s="14"/>
      <c r="L39" s="2"/>
    </row>
    <row r="40" spans="1:12" s="6" customFormat="1" hidden="1" x14ac:dyDescent="0.25">
      <c r="A40" s="4"/>
      <c r="B40" s="3"/>
      <c r="C40" s="73"/>
      <c r="D40" s="33"/>
      <c r="E40" s="78"/>
      <c r="F40" s="24"/>
      <c r="G40" s="24"/>
      <c r="H40" s="19"/>
      <c r="I40" s="19"/>
      <c r="J40" s="49"/>
      <c r="K40" s="49"/>
      <c r="L40" s="2"/>
    </row>
    <row r="41" spans="1:12" s="6" customFormat="1" hidden="1" x14ac:dyDescent="0.25">
      <c r="A41" s="4"/>
      <c r="B41" s="3"/>
      <c r="C41" s="73"/>
      <c r="D41" s="33"/>
      <c r="E41" s="78"/>
      <c r="F41" s="24"/>
      <c r="G41" s="24"/>
      <c r="H41" s="19"/>
      <c r="I41" s="19"/>
      <c r="J41" s="49"/>
      <c r="K41" s="49"/>
      <c r="L41" s="2"/>
    </row>
    <row r="42" spans="1:12" s="6" customFormat="1" hidden="1" x14ac:dyDescent="0.25">
      <c r="A42" s="4"/>
      <c r="B42" s="3"/>
      <c r="C42" s="73"/>
      <c r="D42" s="33"/>
      <c r="E42" s="78"/>
      <c r="F42" s="24"/>
      <c r="G42" s="24"/>
      <c r="H42" s="19"/>
      <c r="I42" s="19"/>
      <c r="J42" s="49"/>
      <c r="K42" s="49"/>
      <c r="L42" s="2"/>
    </row>
    <row r="43" spans="1:12" s="6" customFormat="1" hidden="1" x14ac:dyDescent="0.25">
      <c r="A43" s="4"/>
      <c r="B43" s="3"/>
      <c r="C43" s="73"/>
      <c r="D43" s="33"/>
      <c r="E43" s="78"/>
      <c r="F43" s="24"/>
      <c r="G43" s="24"/>
      <c r="H43" s="19"/>
      <c r="I43" s="19"/>
      <c r="J43" s="49"/>
      <c r="K43" s="49"/>
      <c r="L43" s="2"/>
    </row>
    <row r="44" spans="1:12" s="6" customFormat="1" hidden="1" x14ac:dyDescent="0.25">
      <c r="A44" s="4"/>
      <c r="B44" s="3"/>
      <c r="C44" s="73"/>
      <c r="D44" s="33"/>
      <c r="E44" s="78"/>
      <c r="F44" s="24"/>
      <c r="G44" s="24"/>
      <c r="H44" s="19"/>
      <c r="I44" s="19"/>
      <c r="J44" s="49"/>
      <c r="K44" s="49"/>
      <c r="L44" s="2"/>
    </row>
    <row r="45" spans="1:12" s="6" customFormat="1" hidden="1" x14ac:dyDescent="0.25">
      <c r="A45" s="4"/>
      <c r="B45" s="3"/>
      <c r="C45" s="73"/>
      <c r="D45" s="33"/>
      <c r="E45" s="78"/>
      <c r="F45" s="24"/>
      <c r="G45" s="24"/>
      <c r="H45" s="19"/>
      <c r="I45" s="19"/>
      <c r="J45" s="49"/>
      <c r="K45" s="49"/>
      <c r="L45" s="2"/>
    </row>
    <row r="46" spans="1:12" s="6" customFormat="1" hidden="1" x14ac:dyDescent="0.25">
      <c r="A46" s="4"/>
      <c r="B46" s="3"/>
      <c r="C46" s="73"/>
      <c r="D46" s="33"/>
      <c r="E46" s="78"/>
      <c r="F46" s="24"/>
      <c r="G46" s="24"/>
      <c r="H46" s="19"/>
      <c r="I46" s="19"/>
      <c r="J46" s="49"/>
      <c r="K46" s="49"/>
      <c r="L46" s="2"/>
    </row>
    <row r="47" spans="1:12" s="6" customFormat="1" hidden="1" x14ac:dyDescent="0.25">
      <c r="A47" s="4"/>
      <c r="B47" s="3"/>
      <c r="C47" s="73"/>
      <c r="D47" s="33"/>
      <c r="E47" s="78"/>
      <c r="F47" s="24"/>
      <c r="G47" s="24"/>
      <c r="H47" s="19"/>
      <c r="I47" s="19"/>
      <c r="J47" s="49"/>
      <c r="K47" s="49"/>
      <c r="L47" s="2"/>
    </row>
    <row r="48" spans="1:12" s="6" customFormat="1" hidden="1" x14ac:dyDescent="0.25">
      <c r="A48" s="4"/>
      <c r="B48" s="15"/>
      <c r="C48" s="73"/>
      <c r="D48" s="33"/>
      <c r="E48" s="78"/>
      <c r="F48" s="24"/>
      <c r="G48" s="24"/>
      <c r="H48" s="19"/>
      <c r="I48" s="19"/>
      <c r="J48" s="14"/>
      <c r="K48" s="14"/>
      <c r="L48" s="2"/>
    </row>
    <row r="49" spans="1:12" ht="41.4" hidden="1" x14ac:dyDescent="0.25">
      <c r="A49" s="10" t="s">
        <v>38</v>
      </c>
      <c r="B49" s="11" t="s">
        <v>10</v>
      </c>
      <c r="C49" s="89" t="s">
        <v>1</v>
      </c>
      <c r="D49" s="11" t="s">
        <v>11</v>
      </c>
      <c r="E49" s="10" t="s">
        <v>12</v>
      </c>
      <c r="F49" s="35" t="s">
        <v>13</v>
      </c>
      <c r="G49" s="35" t="s">
        <v>14</v>
      </c>
      <c r="H49" s="35" t="s">
        <v>15</v>
      </c>
      <c r="I49" s="18" t="s">
        <v>16</v>
      </c>
      <c r="J49" s="18" t="s">
        <v>17</v>
      </c>
      <c r="K49" s="18" t="s">
        <v>18</v>
      </c>
      <c r="L49" s="11" t="s">
        <v>19</v>
      </c>
    </row>
    <row r="50" spans="1:12" hidden="1" x14ac:dyDescent="0.25">
      <c r="A50" s="66" t="s">
        <v>22</v>
      </c>
      <c r="B50" s="11"/>
      <c r="C50" s="89"/>
      <c r="D50" s="11"/>
      <c r="E50" s="10"/>
      <c r="F50" s="35"/>
      <c r="G50" s="35"/>
      <c r="H50" s="35"/>
      <c r="I50" s="18"/>
      <c r="J50" s="18"/>
      <c r="K50" s="18"/>
      <c r="L50" s="11"/>
    </row>
    <row r="51" spans="1:12" hidden="1" x14ac:dyDescent="0.25">
      <c r="A51" s="66" t="s">
        <v>25</v>
      </c>
      <c r="B51" s="11"/>
      <c r="C51" s="89"/>
      <c r="D51" s="11"/>
      <c r="E51" s="10"/>
      <c r="F51" s="35"/>
      <c r="G51" s="35"/>
      <c r="H51" s="35"/>
      <c r="I51" s="18"/>
      <c r="J51" s="18"/>
      <c r="K51" s="18"/>
      <c r="L51" s="11"/>
    </row>
    <row r="52" spans="1:12" hidden="1" x14ac:dyDescent="0.25">
      <c r="A52" s="47" t="s">
        <v>26</v>
      </c>
      <c r="C52" s="73"/>
      <c r="D52" s="25"/>
      <c r="E52" s="78"/>
      <c r="F52" s="24"/>
      <c r="G52" s="24" t="str">
        <f>IF($F52="","",IF($F52="Gemessen","sehr gut",IF($F52="Berechnet","gut",IF($F52="Literaturwert","befriedigend",IF($F52="Geschätzt","schlecht",IF($F52="Keine Angabe","nicht erhoben",IF($F52="Datenbank (Gabi) | NUR UMSICHT","GaBi",IF($F52="Datenbank (ecoinvent) | NUR UMSICHT","ecoinvent"))))))))</f>
        <v/>
      </c>
      <c r="H52" s="19"/>
      <c r="I52" s="19"/>
      <c r="J52" s="29"/>
      <c r="K52" s="29"/>
      <c r="L52" s="2"/>
    </row>
    <row r="53" spans="1:12" hidden="1" x14ac:dyDescent="0.25">
      <c r="A53" s="4" t="s">
        <v>36</v>
      </c>
      <c r="B53" s="4" t="s">
        <v>39</v>
      </c>
      <c r="C53" s="73"/>
      <c r="D53" s="25"/>
      <c r="E53" s="78"/>
      <c r="F53" s="25"/>
      <c r="G53" s="24" t="str">
        <f t="shared" ref="G53:G195" si="1">IF($F53="","",IF($F53="Gemessen","sehr gut",IF($F53="Berechnet","gut",IF($F53="Literaturwert","befriedigend",IF($F53="Geschätzt","schlecht",IF($F53="Keine Angabe","nicht erhoben",IF($F53="Datenbank (Gabi) | NUR UMSICHT","GaBi",IF($F53="Datenbank (ecoinvent) | NUR UMSICHT","ecoinvent"))))))))</f>
        <v/>
      </c>
      <c r="H53" s="19"/>
      <c r="I53" s="25"/>
      <c r="J53" s="55"/>
      <c r="K53" s="55"/>
      <c r="L53" s="2"/>
    </row>
    <row r="54" spans="1:12" hidden="1" x14ac:dyDescent="0.25">
      <c r="A54" s="76" t="s">
        <v>40</v>
      </c>
      <c r="B54" s="4" t="s">
        <v>28</v>
      </c>
      <c r="C54" s="73"/>
      <c r="D54" s="25"/>
      <c r="E54" s="78"/>
      <c r="F54" s="24"/>
      <c r="G54" s="24" t="str">
        <f t="shared" si="1"/>
        <v/>
      </c>
      <c r="H54" s="19"/>
      <c r="I54" s="19"/>
      <c r="J54" s="27"/>
      <c r="K54" s="27"/>
      <c r="L54" s="20"/>
    </row>
    <row r="55" spans="1:12" hidden="1" x14ac:dyDescent="0.25">
      <c r="A55" s="2" t="s">
        <v>41</v>
      </c>
      <c r="B55" s="4" t="s">
        <v>28</v>
      </c>
      <c r="C55" s="73"/>
      <c r="D55" s="25"/>
      <c r="E55" s="78"/>
      <c r="F55" s="24"/>
      <c r="G55" s="24" t="str">
        <f t="shared" si="1"/>
        <v/>
      </c>
      <c r="H55" s="19"/>
      <c r="I55" s="19"/>
      <c r="J55" s="28"/>
      <c r="K55" s="28"/>
      <c r="L55" s="2"/>
    </row>
    <row r="56" spans="1:12" hidden="1" x14ac:dyDescent="0.25">
      <c r="A56" s="4" t="s">
        <v>42</v>
      </c>
      <c r="B56" s="4" t="s">
        <v>28</v>
      </c>
      <c r="C56" s="73"/>
      <c r="D56" s="25"/>
      <c r="E56" s="78"/>
      <c r="F56" s="24"/>
      <c r="G56" s="24" t="str">
        <f t="shared" si="1"/>
        <v/>
      </c>
      <c r="H56" s="19"/>
      <c r="I56" s="19"/>
      <c r="J56" s="14"/>
      <c r="K56" s="14"/>
      <c r="L56" s="2"/>
    </row>
    <row r="57" spans="1:12" hidden="1" x14ac:dyDescent="0.25">
      <c r="A57" s="2" t="s">
        <v>43</v>
      </c>
      <c r="B57" s="4" t="s">
        <v>33</v>
      </c>
      <c r="C57" s="73"/>
      <c r="D57" s="25"/>
      <c r="E57" s="78"/>
      <c r="F57" s="24"/>
      <c r="G57" s="24"/>
      <c r="H57" s="19"/>
      <c r="I57" s="19"/>
      <c r="J57" s="14"/>
      <c r="K57" s="14"/>
      <c r="L57" s="2"/>
    </row>
    <row r="58" spans="1:12" hidden="1" x14ac:dyDescent="0.25">
      <c r="A58" s="70"/>
      <c r="B58" s="4"/>
      <c r="C58" s="73"/>
      <c r="D58" s="25"/>
      <c r="E58" s="78"/>
      <c r="F58" s="24"/>
      <c r="G58" s="24"/>
      <c r="H58" s="19"/>
      <c r="I58" s="19"/>
      <c r="J58" s="14"/>
      <c r="K58" s="14"/>
      <c r="L58" s="2"/>
    </row>
    <row r="59" spans="1:12" s="6" customFormat="1" hidden="1" x14ac:dyDescent="0.25">
      <c r="A59" s="4"/>
      <c r="B59" s="3"/>
      <c r="C59" s="73"/>
      <c r="D59" s="33"/>
      <c r="E59" s="78"/>
      <c r="F59" s="24"/>
      <c r="G59" s="24"/>
      <c r="H59" s="19"/>
      <c r="I59" s="19"/>
      <c r="J59" s="49"/>
      <c r="K59" s="49"/>
      <c r="L59" s="2"/>
    </row>
    <row r="60" spans="1:12" s="6" customFormat="1" hidden="1" x14ac:dyDescent="0.25">
      <c r="A60" s="4"/>
      <c r="B60" s="3"/>
      <c r="C60" s="73"/>
      <c r="D60" s="33"/>
      <c r="E60" s="78"/>
      <c r="F60" s="24"/>
      <c r="G60" s="24"/>
      <c r="H60" s="19"/>
      <c r="I60" s="19"/>
      <c r="J60" s="49"/>
      <c r="K60" s="49"/>
      <c r="L60" s="2"/>
    </row>
    <row r="61" spans="1:12" s="6" customFormat="1" hidden="1" x14ac:dyDescent="0.25">
      <c r="A61" s="4"/>
      <c r="B61" s="3"/>
      <c r="C61" s="73"/>
      <c r="D61" s="33"/>
      <c r="E61" s="78"/>
      <c r="F61" s="24"/>
      <c r="G61" s="24"/>
      <c r="H61" s="19"/>
      <c r="I61" s="19"/>
      <c r="J61" s="49"/>
      <c r="K61" s="49"/>
      <c r="L61" s="2"/>
    </row>
    <row r="62" spans="1:12" s="6" customFormat="1" hidden="1" x14ac:dyDescent="0.25">
      <c r="A62" s="4"/>
      <c r="B62" s="3"/>
      <c r="C62" s="73"/>
      <c r="D62" s="33"/>
      <c r="E62" s="78"/>
      <c r="F62" s="24"/>
      <c r="G62" s="24"/>
      <c r="H62" s="19"/>
      <c r="I62" s="19"/>
      <c r="J62" s="49"/>
      <c r="K62" s="49"/>
      <c r="L62" s="2"/>
    </row>
    <row r="63" spans="1:12" s="6" customFormat="1" hidden="1" x14ac:dyDescent="0.25">
      <c r="A63" s="4"/>
      <c r="B63" s="3"/>
      <c r="C63" s="73"/>
      <c r="D63" s="33"/>
      <c r="E63" s="78"/>
      <c r="F63" s="24"/>
      <c r="G63" s="24"/>
      <c r="H63" s="19"/>
      <c r="I63" s="19"/>
      <c r="J63" s="49"/>
      <c r="K63" s="49"/>
      <c r="L63" s="2"/>
    </row>
    <row r="64" spans="1:12" s="6" customFormat="1" hidden="1" x14ac:dyDescent="0.25">
      <c r="A64" s="4"/>
      <c r="B64" s="3"/>
      <c r="C64" s="73"/>
      <c r="D64" s="33"/>
      <c r="E64" s="78"/>
      <c r="F64" s="24"/>
      <c r="G64" s="24"/>
      <c r="H64" s="19"/>
      <c r="I64" s="19"/>
      <c r="J64" s="49"/>
      <c r="K64" s="49"/>
      <c r="L64" s="2"/>
    </row>
    <row r="65" spans="1:12" s="6" customFormat="1" hidden="1" x14ac:dyDescent="0.25">
      <c r="A65" s="4"/>
      <c r="B65" s="3"/>
      <c r="C65" s="73"/>
      <c r="D65" s="33"/>
      <c r="E65" s="78"/>
      <c r="F65" s="24"/>
      <c r="G65" s="24"/>
      <c r="H65" s="19"/>
      <c r="I65" s="19"/>
      <c r="J65" s="49"/>
      <c r="K65" s="49"/>
      <c r="L65" s="2"/>
    </row>
    <row r="66" spans="1:12" hidden="1" x14ac:dyDescent="0.25">
      <c r="A66" s="46" t="s">
        <v>35</v>
      </c>
      <c r="B66" s="15"/>
      <c r="C66" s="73"/>
      <c r="D66" s="25"/>
      <c r="E66" s="78"/>
      <c r="F66" s="24"/>
      <c r="G66" s="24" t="str">
        <f t="shared" si="1"/>
        <v/>
      </c>
      <c r="H66" s="19"/>
      <c r="I66" s="19"/>
      <c r="J66" s="27"/>
      <c r="K66" s="27"/>
      <c r="L66" s="2"/>
    </row>
    <row r="67" spans="1:12" hidden="1" x14ac:dyDescent="0.25">
      <c r="A67" s="4" t="s">
        <v>44</v>
      </c>
      <c r="B67" s="4" t="s">
        <v>45</v>
      </c>
      <c r="C67" s="73"/>
      <c r="D67" s="30"/>
      <c r="E67" s="78"/>
      <c r="F67" s="24"/>
      <c r="G67" s="24" t="str">
        <f t="shared" si="1"/>
        <v/>
      </c>
      <c r="H67" s="19"/>
      <c r="I67" s="19"/>
      <c r="J67" s="28"/>
      <c r="K67" s="28"/>
      <c r="L67" s="2"/>
    </row>
    <row r="68" spans="1:12" hidden="1" x14ac:dyDescent="0.25">
      <c r="A68" s="4" t="s">
        <v>46</v>
      </c>
      <c r="B68" s="4" t="s">
        <v>37</v>
      </c>
      <c r="C68" s="73"/>
      <c r="D68" s="25"/>
      <c r="E68" s="78"/>
      <c r="F68" s="24"/>
      <c r="G68" s="24" t="str">
        <f t="shared" si="1"/>
        <v/>
      </c>
      <c r="H68" s="19"/>
      <c r="I68" s="19"/>
      <c r="J68" s="31"/>
      <c r="K68" s="31"/>
      <c r="L68" s="2"/>
    </row>
    <row r="69" spans="1:12" hidden="1" x14ac:dyDescent="0.25">
      <c r="A69" s="2" t="s">
        <v>47</v>
      </c>
      <c r="B69" s="4" t="s">
        <v>37</v>
      </c>
      <c r="C69" s="73"/>
      <c r="D69" s="32"/>
      <c r="E69" s="78"/>
      <c r="F69" s="24"/>
      <c r="G69" s="24" t="str">
        <f t="shared" si="1"/>
        <v/>
      </c>
      <c r="H69" s="19"/>
      <c r="I69" s="19"/>
      <c r="J69" s="27"/>
      <c r="K69" s="27"/>
      <c r="L69" s="20"/>
    </row>
    <row r="70" spans="1:12" hidden="1" x14ac:dyDescent="0.25">
      <c r="A70" s="70"/>
      <c r="B70" s="4"/>
      <c r="C70" s="73"/>
      <c r="D70" s="25"/>
      <c r="E70" s="78"/>
      <c r="F70" s="24"/>
      <c r="G70" s="24"/>
      <c r="H70" s="19"/>
      <c r="I70" s="19"/>
      <c r="J70" s="14"/>
      <c r="K70" s="14"/>
      <c r="L70" s="2"/>
    </row>
    <row r="71" spans="1:12" s="6" customFormat="1" hidden="1" x14ac:dyDescent="0.25">
      <c r="A71" s="4"/>
      <c r="B71" s="3"/>
      <c r="C71" s="73"/>
      <c r="D71" s="33"/>
      <c r="E71" s="78"/>
      <c r="F71" s="24"/>
      <c r="G71" s="24"/>
      <c r="H71" s="19"/>
      <c r="I71" s="19"/>
      <c r="J71" s="49"/>
      <c r="K71" s="49"/>
      <c r="L71" s="2"/>
    </row>
    <row r="72" spans="1:12" s="6" customFormat="1" hidden="1" x14ac:dyDescent="0.25">
      <c r="A72" s="4"/>
      <c r="B72" s="3"/>
      <c r="C72" s="73"/>
      <c r="D72" s="33"/>
      <c r="E72" s="78"/>
      <c r="F72" s="24"/>
      <c r="G72" s="24"/>
      <c r="H72" s="19"/>
      <c r="I72" s="19"/>
      <c r="J72" s="49"/>
      <c r="K72" s="49"/>
      <c r="L72" s="2"/>
    </row>
    <row r="73" spans="1:12" s="6" customFormat="1" hidden="1" x14ac:dyDescent="0.25">
      <c r="A73" s="4"/>
      <c r="B73" s="3"/>
      <c r="C73" s="73"/>
      <c r="D73" s="33"/>
      <c r="E73" s="78"/>
      <c r="F73" s="24"/>
      <c r="G73" s="24"/>
      <c r="H73" s="19"/>
      <c r="I73" s="19"/>
      <c r="J73" s="49"/>
      <c r="K73" s="49"/>
      <c r="L73" s="2"/>
    </row>
    <row r="74" spans="1:12" s="6" customFormat="1" hidden="1" x14ac:dyDescent="0.25">
      <c r="A74" s="4"/>
      <c r="B74" s="3"/>
      <c r="C74" s="73"/>
      <c r="D74" s="33"/>
      <c r="E74" s="78"/>
      <c r="F74" s="24"/>
      <c r="G74" s="24"/>
      <c r="H74" s="19"/>
      <c r="I74" s="19"/>
      <c r="J74" s="49"/>
      <c r="K74" s="49"/>
      <c r="L74" s="2"/>
    </row>
    <row r="75" spans="1:12" s="6" customFormat="1" hidden="1" x14ac:dyDescent="0.25">
      <c r="A75" s="4"/>
      <c r="B75" s="3"/>
      <c r="C75" s="73"/>
      <c r="D75" s="33"/>
      <c r="E75" s="78"/>
      <c r="F75" s="24"/>
      <c r="G75" s="24"/>
      <c r="H75" s="19"/>
      <c r="I75" s="19"/>
      <c r="J75" s="49"/>
      <c r="K75" s="49"/>
      <c r="L75" s="2"/>
    </row>
    <row r="76" spans="1:12" s="6" customFormat="1" hidden="1" x14ac:dyDescent="0.25">
      <c r="A76" s="4"/>
      <c r="B76" s="3"/>
      <c r="C76" s="73"/>
      <c r="D76" s="33"/>
      <c r="E76" s="78"/>
      <c r="F76" s="24"/>
      <c r="G76" s="24"/>
      <c r="H76" s="19"/>
      <c r="I76" s="19"/>
      <c r="J76" s="49"/>
      <c r="K76" s="49"/>
      <c r="L76" s="2"/>
    </row>
    <row r="77" spans="1:12" s="6" customFormat="1" hidden="1" x14ac:dyDescent="0.25">
      <c r="A77" s="4"/>
      <c r="B77" s="3"/>
      <c r="C77" s="73"/>
      <c r="D77" s="33"/>
      <c r="E77" s="78"/>
      <c r="F77" s="24"/>
      <c r="G77" s="24"/>
      <c r="H77" s="19"/>
      <c r="I77" s="19"/>
      <c r="J77" s="49"/>
      <c r="K77" s="49"/>
      <c r="L77" s="2"/>
    </row>
    <row r="78" spans="1:12" hidden="1" x14ac:dyDescent="0.25">
      <c r="A78" s="2"/>
      <c r="B78" s="15"/>
      <c r="C78" s="73"/>
      <c r="D78" s="25"/>
      <c r="E78" s="78"/>
      <c r="F78" s="24"/>
      <c r="G78" s="24" t="str">
        <f t="shared" si="1"/>
        <v/>
      </c>
      <c r="H78" s="19"/>
      <c r="I78" s="19"/>
      <c r="J78" s="28"/>
      <c r="K78" s="28"/>
      <c r="L78" s="2"/>
    </row>
    <row r="79" spans="1:12" ht="41.4" hidden="1" x14ac:dyDescent="0.25">
      <c r="A79" s="10" t="s">
        <v>48</v>
      </c>
      <c r="B79" s="11" t="s">
        <v>10</v>
      </c>
      <c r="C79" s="89" t="s">
        <v>1</v>
      </c>
      <c r="D79" s="11" t="s">
        <v>11</v>
      </c>
      <c r="E79" s="10" t="s">
        <v>12</v>
      </c>
      <c r="F79" s="35" t="s">
        <v>13</v>
      </c>
      <c r="G79" s="35" t="s">
        <v>14</v>
      </c>
      <c r="H79" s="35" t="s">
        <v>15</v>
      </c>
      <c r="I79" s="18" t="s">
        <v>16</v>
      </c>
      <c r="J79" s="18" t="s">
        <v>17</v>
      </c>
      <c r="K79" s="18" t="s">
        <v>18</v>
      </c>
      <c r="L79" s="11" t="s">
        <v>19</v>
      </c>
    </row>
    <row r="80" spans="1:12" hidden="1" x14ac:dyDescent="0.25">
      <c r="A80" s="66" t="s">
        <v>22</v>
      </c>
      <c r="B80" s="11"/>
      <c r="C80" s="89"/>
      <c r="D80" s="11"/>
      <c r="E80" s="10"/>
      <c r="F80" s="35"/>
      <c r="G80" s="35"/>
      <c r="H80" s="35"/>
      <c r="I80" s="18"/>
      <c r="J80" s="18"/>
      <c r="K80" s="18"/>
      <c r="L80" s="11"/>
    </row>
    <row r="81" spans="1:12" hidden="1" x14ac:dyDescent="0.25">
      <c r="A81" s="66" t="s">
        <v>25</v>
      </c>
      <c r="B81" s="11"/>
      <c r="C81" s="89"/>
      <c r="D81" s="11"/>
      <c r="E81" s="10"/>
      <c r="F81" s="35"/>
      <c r="G81" s="35"/>
      <c r="H81" s="35"/>
      <c r="I81" s="18"/>
      <c r="J81" s="18"/>
      <c r="K81" s="18"/>
      <c r="L81" s="11"/>
    </row>
    <row r="82" spans="1:12" hidden="1" x14ac:dyDescent="0.25">
      <c r="A82" s="46" t="s">
        <v>26</v>
      </c>
      <c r="B82" s="15"/>
      <c r="C82" s="73"/>
      <c r="D82" s="34"/>
      <c r="E82" s="78"/>
      <c r="F82" s="24"/>
      <c r="G82" s="24" t="str">
        <f t="shared" si="1"/>
        <v/>
      </c>
      <c r="H82" s="19"/>
      <c r="I82" s="19"/>
      <c r="J82" s="28"/>
      <c r="K82" s="28"/>
      <c r="L82" s="2"/>
    </row>
    <row r="83" spans="1:12" hidden="1" x14ac:dyDescent="0.25">
      <c r="A83" s="2" t="s">
        <v>46</v>
      </c>
      <c r="B83" s="4" t="s">
        <v>39</v>
      </c>
      <c r="C83" s="73"/>
      <c r="D83" s="30"/>
      <c r="E83" s="80"/>
      <c r="F83" s="24"/>
      <c r="G83" s="24" t="str">
        <f t="shared" si="1"/>
        <v/>
      </c>
      <c r="H83" s="19"/>
      <c r="I83" s="19"/>
      <c r="J83" s="28"/>
      <c r="K83" s="28"/>
      <c r="L83" s="2"/>
    </row>
    <row r="84" spans="1:12" hidden="1" x14ac:dyDescent="0.25">
      <c r="A84" s="2" t="s">
        <v>49</v>
      </c>
      <c r="B84" s="4" t="s">
        <v>28</v>
      </c>
      <c r="C84" s="73"/>
      <c r="D84" s="25"/>
      <c r="E84" s="78"/>
      <c r="F84" s="24"/>
      <c r="G84" s="24" t="str">
        <f t="shared" si="1"/>
        <v/>
      </c>
      <c r="H84" s="19"/>
      <c r="I84" s="19"/>
      <c r="J84" s="28"/>
      <c r="K84" s="28"/>
      <c r="L84" s="2"/>
    </row>
    <row r="85" spans="1:12" hidden="1" x14ac:dyDescent="0.25">
      <c r="A85" s="76" t="s">
        <v>50</v>
      </c>
      <c r="B85" s="4" t="s">
        <v>28</v>
      </c>
      <c r="C85" s="73"/>
      <c r="D85" s="25"/>
      <c r="E85" s="81"/>
      <c r="F85" s="24"/>
      <c r="G85" s="24" t="str">
        <f t="shared" si="1"/>
        <v/>
      </c>
      <c r="H85" s="19"/>
      <c r="I85" s="19"/>
      <c r="J85" s="27"/>
      <c r="K85" s="27"/>
      <c r="L85" s="20"/>
    </row>
    <row r="86" spans="1:12" hidden="1" x14ac:dyDescent="0.25">
      <c r="A86" s="76" t="s">
        <v>51</v>
      </c>
      <c r="B86" s="4" t="s">
        <v>28</v>
      </c>
      <c r="C86" s="73"/>
      <c r="D86" s="25"/>
      <c r="E86" s="81"/>
      <c r="F86" s="24"/>
      <c r="G86" s="24"/>
      <c r="H86" s="19"/>
      <c r="I86" s="19"/>
      <c r="J86" s="27"/>
      <c r="K86" s="27"/>
      <c r="L86" s="20"/>
    </row>
    <row r="87" spans="1:12" hidden="1" x14ac:dyDescent="0.25">
      <c r="A87" s="2" t="s">
        <v>52</v>
      </c>
      <c r="B87" s="4" t="s">
        <v>33</v>
      </c>
      <c r="C87" s="73"/>
      <c r="D87" s="25"/>
      <c r="E87" s="78"/>
      <c r="F87" s="24"/>
      <c r="G87" s="24" t="str">
        <f t="shared" si="1"/>
        <v/>
      </c>
      <c r="H87" s="19"/>
      <c r="I87" s="19"/>
      <c r="J87" s="28"/>
      <c r="K87" s="28"/>
      <c r="L87" s="2"/>
    </row>
    <row r="88" spans="1:12" hidden="1" x14ac:dyDescent="0.25">
      <c r="A88" s="1" t="s">
        <v>53</v>
      </c>
      <c r="B88" s="4" t="s">
        <v>28</v>
      </c>
      <c r="C88" s="73"/>
      <c r="D88" s="25"/>
      <c r="E88" s="78"/>
      <c r="F88" s="24"/>
      <c r="G88" s="24" t="str">
        <f t="shared" si="1"/>
        <v/>
      </c>
      <c r="H88" s="19"/>
      <c r="I88" s="19"/>
      <c r="J88" s="28"/>
      <c r="K88" s="28"/>
      <c r="L88" s="2"/>
    </row>
    <row r="89" spans="1:12" hidden="1" x14ac:dyDescent="0.25">
      <c r="A89" s="2" t="s">
        <v>54</v>
      </c>
      <c r="B89" s="4" t="s">
        <v>33</v>
      </c>
      <c r="C89" s="73"/>
      <c r="D89" s="25"/>
      <c r="E89" s="78"/>
      <c r="F89" s="24"/>
      <c r="G89" s="24"/>
      <c r="H89" s="19"/>
      <c r="I89" s="19"/>
      <c r="J89" s="28"/>
      <c r="K89" s="28"/>
      <c r="L89" s="2"/>
    </row>
    <row r="90" spans="1:12" hidden="1" x14ac:dyDescent="0.25">
      <c r="A90" s="70"/>
      <c r="B90" s="4"/>
      <c r="C90" s="73"/>
      <c r="D90" s="25"/>
      <c r="E90" s="78"/>
      <c r="F90" s="24"/>
      <c r="G90" s="24"/>
      <c r="H90" s="19"/>
      <c r="I90" s="19"/>
      <c r="J90" s="14"/>
      <c r="K90" s="14"/>
      <c r="L90" s="2"/>
    </row>
    <row r="91" spans="1:12" s="6" customFormat="1" hidden="1" x14ac:dyDescent="0.25">
      <c r="A91" s="4"/>
      <c r="B91" s="3"/>
      <c r="C91" s="73"/>
      <c r="D91" s="33"/>
      <c r="E91" s="78"/>
      <c r="F91" s="24"/>
      <c r="G91" s="24"/>
      <c r="H91" s="19"/>
      <c r="I91" s="19"/>
      <c r="J91" s="49"/>
      <c r="K91" s="49"/>
      <c r="L91" s="2"/>
    </row>
    <row r="92" spans="1:12" s="6" customFormat="1" hidden="1" x14ac:dyDescent="0.25">
      <c r="A92" s="4"/>
      <c r="B92" s="3"/>
      <c r="C92" s="73"/>
      <c r="D92" s="33"/>
      <c r="E92" s="78"/>
      <c r="F92" s="24"/>
      <c r="G92" s="24"/>
      <c r="H92" s="19"/>
      <c r="I92" s="19"/>
      <c r="J92" s="49"/>
      <c r="K92" s="49"/>
      <c r="L92" s="2"/>
    </row>
    <row r="93" spans="1:12" s="6" customFormat="1" hidden="1" x14ac:dyDescent="0.25">
      <c r="A93" s="4"/>
      <c r="B93" s="3"/>
      <c r="C93" s="73"/>
      <c r="D93" s="33"/>
      <c r="E93" s="78"/>
      <c r="F93" s="24"/>
      <c r="G93" s="24"/>
      <c r="H93" s="19"/>
      <c r="I93" s="19"/>
      <c r="J93" s="49"/>
      <c r="K93" s="49"/>
      <c r="L93" s="2"/>
    </row>
    <row r="94" spans="1:12" s="6" customFormat="1" hidden="1" x14ac:dyDescent="0.25">
      <c r="A94" s="4"/>
      <c r="B94" s="3"/>
      <c r="C94" s="73"/>
      <c r="D94" s="33"/>
      <c r="E94" s="78"/>
      <c r="F94" s="24"/>
      <c r="G94" s="24"/>
      <c r="H94" s="19"/>
      <c r="I94" s="19"/>
      <c r="J94" s="49"/>
      <c r="K94" s="49"/>
      <c r="L94" s="2"/>
    </row>
    <row r="95" spans="1:12" s="6" customFormat="1" hidden="1" x14ac:dyDescent="0.25">
      <c r="A95" s="4"/>
      <c r="B95" s="3"/>
      <c r="C95" s="73"/>
      <c r="D95" s="33"/>
      <c r="E95" s="78"/>
      <c r="F95" s="24"/>
      <c r="G95" s="24"/>
      <c r="H95" s="19"/>
      <c r="I95" s="19"/>
      <c r="J95" s="49"/>
      <c r="K95" s="49"/>
      <c r="L95" s="2"/>
    </row>
    <row r="96" spans="1:12" s="6" customFormat="1" hidden="1" x14ac:dyDescent="0.25">
      <c r="A96" s="4"/>
      <c r="B96" s="3"/>
      <c r="C96" s="73"/>
      <c r="D96" s="33"/>
      <c r="E96" s="78"/>
      <c r="F96" s="24"/>
      <c r="G96" s="24"/>
      <c r="H96" s="19"/>
      <c r="I96" s="19"/>
      <c r="J96" s="49"/>
      <c r="K96" s="49"/>
      <c r="L96" s="2"/>
    </row>
    <row r="97" spans="1:12" s="6" customFormat="1" hidden="1" x14ac:dyDescent="0.25">
      <c r="A97" s="4"/>
      <c r="B97" s="3"/>
      <c r="C97" s="73"/>
      <c r="D97" s="33"/>
      <c r="E97" s="78"/>
      <c r="F97" s="24"/>
      <c r="G97" s="24"/>
      <c r="H97" s="19"/>
      <c r="I97" s="19"/>
      <c r="J97" s="49"/>
      <c r="K97" s="49"/>
      <c r="L97" s="2"/>
    </row>
    <row r="98" spans="1:12" hidden="1" x14ac:dyDescent="0.25">
      <c r="A98" s="2"/>
      <c r="B98" s="15"/>
      <c r="C98" s="73"/>
      <c r="D98" s="25"/>
      <c r="E98" s="78"/>
      <c r="F98" s="24"/>
      <c r="G98" s="24" t="str">
        <f t="shared" si="1"/>
        <v/>
      </c>
      <c r="H98" s="19"/>
      <c r="I98" s="19"/>
      <c r="J98" s="28"/>
      <c r="K98" s="28"/>
      <c r="L98" s="2"/>
    </row>
    <row r="99" spans="1:12" hidden="1" x14ac:dyDescent="0.25">
      <c r="A99" s="71" t="s">
        <v>35</v>
      </c>
      <c r="B99" s="15"/>
      <c r="C99" s="73"/>
      <c r="D99" s="25"/>
      <c r="E99" s="78"/>
      <c r="F99" s="24"/>
      <c r="G99" s="24" t="str">
        <f t="shared" si="1"/>
        <v/>
      </c>
      <c r="H99" s="19"/>
      <c r="I99" s="19"/>
      <c r="J99" s="28"/>
      <c r="K99" s="28"/>
      <c r="L99" s="2"/>
    </row>
    <row r="100" spans="1:12" hidden="1" x14ac:dyDescent="0.25">
      <c r="A100" s="2" t="s">
        <v>55</v>
      </c>
      <c r="B100" s="4" t="s">
        <v>37</v>
      </c>
      <c r="C100" s="73"/>
      <c r="D100" s="25"/>
      <c r="E100" s="78"/>
      <c r="F100" s="24"/>
      <c r="G100" s="24"/>
      <c r="H100" s="19"/>
      <c r="I100" s="19"/>
      <c r="J100" s="28"/>
      <c r="K100" s="28"/>
      <c r="L100" s="2"/>
    </row>
    <row r="101" spans="1:12" hidden="1" x14ac:dyDescent="0.25">
      <c r="A101" s="2" t="s">
        <v>56</v>
      </c>
      <c r="B101" s="4" t="s">
        <v>45</v>
      </c>
      <c r="C101" s="73"/>
      <c r="D101" s="25"/>
      <c r="E101" s="78"/>
      <c r="F101" s="24"/>
      <c r="G101" s="24"/>
      <c r="H101" s="19"/>
      <c r="I101" s="19"/>
      <c r="J101" s="28"/>
      <c r="K101" s="28"/>
      <c r="L101" s="2"/>
    </row>
    <row r="102" spans="1:12" hidden="1" x14ac:dyDescent="0.25">
      <c r="A102" s="2" t="s">
        <v>57</v>
      </c>
      <c r="B102" s="4" t="s">
        <v>45</v>
      </c>
      <c r="C102" s="73"/>
      <c r="D102" s="25"/>
      <c r="E102" s="78"/>
      <c r="F102" s="24"/>
      <c r="G102" s="24"/>
      <c r="H102" s="19"/>
      <c r="I102" s="19"/>
      <c r="J102" s="28"/>
      <c r="K102" s="28"/>
      <c r="L102" s="2"/>
    </row>
    <row r="103" spans="1:12" hidden="1" x14ac:dyDescent="0.25">
      <c r="A103" s="2" t="s">
        <v>58</v>
      </c>
      <c r="B103" s="4" t="s">
        <v>45</v>
      </c>
      <c r="C103" s="73"/>
      <c r="D103" s="25"/>
      <c r="E103" s="78"/>
      <c r="F103" s="24"/>
      <c r="G103" s="24"/>
      <c r="H103" s="19"/>
      <c r="I103" s="19"/>
      <c r="J103" s="28"/>
      <c r="K103" s="28"/>
      <c r="L103" s="2"/>
    </row>
    <row r="104" spans="1:12" hidden="1" x14ac:dyDescent="0.25">
      <c r="A104" s="70"/>
      <c r="B104" s="4"/>
      <c r="C104" s="73"/>
      <c r="D104" s="25"/>
      <c r="E104" s="78"/>
      <c r="F104" s="24"/>
      <c r="G104" s="24"/>
      <c r="H104" s="19"/>
      <c r="I104" s="19"/>
      <c r="J104" s="14"/>
      <c r="K104" s="14"/>
      <c r="L104" s="2"/>
    </row>
    <row r="105" spans="1:12" s="6" customFormat="1" hidden="1" x14ac:dyDescent="0.25">
      <c r="A105" s="4"/>
      <c r="B105" s="3"/>
      <c r="C105" s="73"/>
      <c r="D105" s="33"/>
      <c r="E105" s="78"/>
      <c r="F105" s="24"/>
      <c r="G105" s="24"/>
      <c r="H105" s="19"/>
      <c r="I105" s="19"/>
      <c r="J105" s="49"/>
      <c r="K105" s="49"/>
      <c r="L105" s="2"/>
    </row>
    <row r="106" spans="1:12" s="6" customFormat="1" hidden="1" x14ac:dyDescent="0.25">
      <c r="A106" s="4"/>
      <c r="B106" s="3"/>
      <c r="C106" s="73"/>
      <c r="D106" s="33"/>
      <c r="E106" s="78"/>
      <c r="F106" s="24"/>
      <c r="G106" s="24"/>
      <c r="H106" s="19"/>
      <c r="I106" s="19"/>
      <c r="J106" s="49"/>
      <c r="K106" s="49"/>
      <c r="L106" s="2"/>
    </row>
    <row r="107" spans="1:12" s="6" customFormat="1" hidden="1" x14ac:dyDescent="0.25">
      <c r="A107" s="4"/>
      <c r="B107" s="3"/>
      <c r="C107" s="73"/>
      <c r="D107" s="33"/>
      <c r="E107" s="78"/>
      <c r="F107" s="24"/>
      <c r="G107" s="24"/>
      <c r="H107" s="19"/>
      <c r="I107" s="19"/>
      <c r="J107" s="49"/>
      <c r="K107" s="49"/>
      <c r="L107" s="2"/>
    </row>
    <row r="108" spans="1:12" s="6" customFormat="1" hidden="1" x14ac:dyDescent="0.25">
      <c r="A108" s="4"/>
      <c r="B108" s="3"/>
      <c r="C108" s="73"/>
      <c r="D108" s="33"/>
      <c r="E108" s="78"/>
      <c r="F108" s="24"/>
      <c r="G108" s="24"/>
      <c r="H108" s="19"/>
      <c r="I108" s="19"/>
      <c r="J108" s="49"/>
      <c r="K108" s="49"/>
      <c r="L108" s="2"/>
    </row>
    <row r="109" spans="1:12" s="6" customFormat="1" hidden="1" x14ac:dyDescent="0.25">
      <c r="A109" s="4"/>
      <c r="B109" s="3"/>
      <c r="C109" s="73"/>
      <c r="D109" s="33"/>
      <c r="E109" s="78"/>
      <c r="F109" s="24"/>
      <c r="G109" s="24"/>
      <c r="H109" s="19"/>
      <c r="I109" s="19"/>
      <c r="J109" s="49"/>
      <c r="K109" s="49"/>
      <c r="L109" s="2"/>
    </row>
    <row r="110" spans="1:12" s="6" customFormat="1" hidden="1" x14ac:dyDescent="0.25">
      <c r="A110" s="4"/>
      <c r="B110" s="3"/>
      <c r="C110" s="73"/>
      <c r="D110" s="33"/>
      <c r="E110" s="78"/>
      <c r="F110" s="24"/>
      <c r="G110" s="24"/>
      <c r="H110" s="19"/>
      <c r="I110" s="19"/>
      <c r="J110" s="49"/>
      <c r="K110" s="49"/>
      <c r="L110" s="2"/>
    </row>
    <row r="111" spans="1:12" s="6" customFormat="1" hidden="1" x14ac:dyDescent="0.25">
      <c r="A111" s="4"/>
      <c r="B111" s="3"/>
      <c r="C111" s="73"/>
      <c r="D111" s="33"/>
      <c r="E111" s="78"/>
      <c r="F111" s="24"/>
      <c r="G111" s="24"/>
      <c r="H111" s="19"/>
      <c r="I111" s="19"/>
      <c r="J111" s="49"/>
      <c r="K111" s="49"/>
      <c r="L111" s="2"/>
    </row>
    <row r="112" spans="1:12" hidden="1" x14ac:dyDescent="0.25">
      <c r="A112" s="2"/>
      <c r="B112" s="15"/>
      <c r="C112" s="73"/>
      <c r="D112" s="25"/>
      <c r="E112" s="78"/>
      <c r="F112" s="24"/>
      <c r="G112" s="24" t="str">
        <f t="shared" si="1"/>
        <v/>
      </c>
      <c r="H112" s="19"/>
      <c r="I112" s="19"/>
      <c r="J112" s="28"/>
      <c r="K112" s="28"/>
      <c r="L112" s="2"/>
    </row>
    <row r="113" spans="1:12" hidden="1" x14ac:dyDescent="0.25">
      <c r="A113" s="16"/>
      <c r="B113" s="15"/>
      <c r="C113" s="73"/>
      <c r="D113" s="25"/>
      <c r="E113" s="78"/>
      <c r="F113" s="24"/>
      <c r="G113" s="24" t="str">
        <f t="shared" si="1"/>
        <v/>
      </c>
      <c r="H113" s="19"/>
      <c r="I113" s="19"/>
      <c r="J113" s="28"/>
      <c r="K113" s="28"/>
      <c r="L113" s="2"/>
    </row>
    <row r="114" spans="1:12" ht="41.4" hidden="1" x14ac:dyDescent="0.25">
      <c r="A114" s="10" t="s">
        <v>59</v>
      </c>
      <c r="B114" s="11" t="s">
        <v>10</v>
      </c>
      <c r="C114" s="89" t="s">
        <v>1</v>
      </c>
      <c r="D114" s="11" t="s">
        <v>11</v>
      </c>
      <c r="E114" s="10" t="s">
        <v>12</v>
      </c>
      <c r="F114" s="35" t="s">
        <v>13</v>
      </c>
      <c r="G114" s="35" t="s">
        <v>14</v>
      </c>
      <c r="H114" s="35" t="s">
        <v>15</v>
      </c>
      <c r="I114" s="18" t="s">
        <v>16</v>
      </c>
      <c r="J114" s="18" t="s">
        <v>17</v>
      </c>
      <c r="K114" s="18" t="s">
        <v>18</v>
      </c>
      <c r="L114" s="11" t="s">
        <v>19</v>
      </c>
    </row>
    <row r="115" spans="1:12" hidden="1" x14ac:dyDescent="0.25">
      <c r="A115" s="66" t="s">
        <v>22</v>
      </c>
      <c r="B115" s="11"/>
      <c r="C115" s="89"/>
      <c r="D115" s="11"/>
      <c r="E115" s="10"/>
      <c r="F115" s="35"/>
      <c r="G115" s="35"/>
      <c r="H115" s="35"/>
      <c r="I115" s="18"/>
      <c r="J115" s="18"/>
      <c r="K115" s="18"/>
      <c r="L115" s="11"/>
    </row>
    <row r="116" spans="1:12" hidden="1" x14ac:dyDescent="0.25">
      <c r="A116" s="66" t="s">
        <v>25</v>
      </c>
      <c r="B116" s="11"/>
      <c r="C116" s="89"/>
      <c r="D116" s="11"/>
      <c r="E116" s="10"/>
      <c r="F116" s="35"/>
      <c r="G116" s="35"/>
      <c r="H116" s="35"/>
      <c r="I116" s="18"/>
      <c r="J116" s="18"/>
      <c r="K116" s="18"/>
      <c r="L116" s="11"/>
    </row>
    <row r="117" spans="1:12" hidden="1" x14ac:dyDescent="0.25">
      <c r="A117" s="46" t="s">
        <v>26</v>
      </c>
      <c r="B117" s="15"/>
      <c r="C117" s="73"/>
      <c r="D117" s="34"/>
      <c r="E117" s="78"/>
      <c r="F117" s="24"/>
      <c r="G117" s="24" t="str">
        <f t="shared" si="1"/>
        <v/>
      </c>
      <c r="H117" s="19"/>
      <c r="I117" s="19"/>
      <c r="J117" s="28"/>
      <c r="K117" s="28"/>
      <c r="L117" s="2"/>
    </row>
    <row r="118" spans="1:12" hidden="1" x14ac:dyDescent="0.25">
      <c r="A118" s="2" t="s">
        <v>55</v>
      </c>
      <c r="B118" s="4" t="s">
        <v>39</v>
      </c>
      <c r="C118" s="73"/>
      <c r="D118" s="25"/>
      <c r="E118" s="78"/>
      <c r="F118" s="24"/>
      <c r="G118" s="24" t="str">
        <f t="shared" si="1"/>
        <v/>
      </c>
      <c r="H118" s="19"/>
      <c r="I118" s="25"/>
      <c r="J118" s="55"/>
      <c r="K118" s="55"/>
      <c r="L118" s="2"/>
    </row>
    <row r="119" spans="1:12" hidden="1" x14ac:dyDescent="0.25">
      <c r="A119" s="76" t="s">
        <v>60</v>
      </c>
      <c r="B119" s="4" t="s">
        <v>28</v>
      </c>
      <c r="C119" s="73"/>
      <c r="D119" s="25"/>
      <c r="E119" s="78"/>
      <c r="F119" s="24"/>
      <c r="G119" s="24" t="str">
        <f t="shared" si="1"/>
        <v/>
      </c>
      <c r="H119" s="19"/>
      <c r="I119" s="19"/>
      <c r="J119" s="27"/>
      <c r="K119" s="27"/>
      <c r="L119" s="20"/>
    </row>
    <row r="120" spans="1:12" hidden="1" x14ac:dyDescent="0.25">
      <c r="A120" s="76" t="s">
        <v>50</v>
      </c>
      <c r="B120" s="4" t="s">
        <v>28</v>
      </c>
      <c r="C120" s="73"/>
      <c r="D120" s="25"/>
      <c r="E120" s="78"/>
      <c r="F120" s="24"/>
      <c r="G120" s="24"/>
      <c r="H120" s="19"/>
      <c r="I120" s="19"/>
      <c r="J120" s="27"/>
      <c r="K120" s="27"/>
      <c r="L120" s="20"/>
    </row>
    <row r="121" spans="1:12" hidden="1" x14ac:dyDescent="0.25">
      <c r="A121" s="2" t="s">
        <v>61</v>
      </c>
      <c r="B121" s="4" t="s">
        <v>28</v>
      </c>
      <c r="C121" s="73"/>
      <c r="D121" s="25"/>
      <c r="E121" s="78"/>
      <c r="F121" s="24"/>
      <c r="G121" s="24" t="str">
        <f t="shared" si="1"/>
        <v/>
      </c>
      <c r="H121" s="19"/>
      <c r="I121" s="19"/>
      <c r="J121" s="28"/>
      <c r="K121" s="28"/>
      <c r="L121" s="2"/>
    </row>
    <row r="122" spans="1:12" hidden="1" x14ac:dyDescent="0.25">
      <c r="A122" s="2" t="s">
        <v>49</v>
      </c>
      <c r="B122" s="4" t="s">
        <v>28</v>
      </c>
      <c r="C122" s="73"/>
      <c r="D122" s="25"/>
      <c r="E122" s="78"/>
      <c r="F122" s="24"/>
      <c r="G122" s="24"/>
      <c r="H122" s="19"/>
      <c r="I122" s="19"/>
      <c r="J122" s="28"/>
      <c r="K122" s="28"/>
      <c r="L122" s="2"/>
    </row>
    <row r="123" spans="1:12" hidden="1" x14ac:dyDescent="0.25">
      <c r="A123" s="2" t="s">
        <v>62</v>
      </c>
      <c r="B123" s="4" t="s">
        <v>28</v>
      </c>
      <c r="C123" s="73"/>
      <c r="D123" s="25"/>
      <c r="E123" s="78"/>
      <c r="F123" s="24"/>
      <c r="G123" s="24" t="str">
        <f t="shared" si="1"/>
        <v/>
      </c>
      <c r="H123" s="19"/>
      <c r="I123" s="19"/>
      <c r="J123" s="28"/>
      <c r="K123" s="28"/>
      <c r="L123" s="2"/>
    </row>
    <row r="124" spans="1:12" hidden="1" x14ac:dyDescent="0.25">
      <c r="A124" s="2" t="s">
        <v>63</v>
      </c>
      <c r="B124" s="4" t="s">
        <v>28</v>
      </c>
      <c r="C124" s="73"/>
      <c r="D124" s="25"/>
      <c r="E124" s="78"/>
      <c r="F124" s="24"/>
      <c r="G124" s="24"/>
      <c r="H124" s="19"/>
      <c r="I124" s="19"/>
      <c r="J124" s="28"/>
      <c r="K124" s="28"/>
      <c r="L124" s="2"/>
    </row>
    <row r="125" spans="1:12" hidden="1" x14ac:dyDescent="0.25">
      <c r="A125" s="2" t="s">
        <v>52</v>
      </c>
      <c r="B125" s="4" t="s">
        <v>33</v>
      </c>
      <c r="C125" s="73"/>
      <c r="D125" s="25"/>
      <c r="E125" s="78"/>
      <c r="F125" s="24"/>
      <c r="G125" s="24"/>
      <c r="H125" s="19"/>
      <c r="I125" s="19"/>
      <c r="J125" s="28"/>
      <c r="K125" s="28"/>
      <c r="L125" s="2"/>
    </row>
    <row r="126" spans="1:12" hidden="1" x14ac:dyDescent="0.25">
      <c r="A126" s="2" t="s">
        <v>64</v>
      </c>
      <c r="B126" s="4" t="s">
        <v>33</v>
      </c>
      <c r="C126" s="73"/>
      <c r="D126" s="25"/>
      <c r="E126" s="78"/>
      <c r="F126" s="24"/>
      <c r="G126" s="24" t="str">
        <f t="shared" si="1"/>
        <v/>
      </c>
      <c r="H126" s="19"/>
      <c r="I126" s="19"/>
      <c r="J126" s="28"/>
      <c r="K126" s="28"/>
      <c r="L126" s="2"/>
    </row>
    <row r="127" spans="1:12" hidden="1" x14ac:dyDescent="0.25">
      <c r="A127" s="70"/>
      <c r="B127" s="4"/>
      <c r="C127" s="73"/>
      <c r="D127" s="25"/>
      <c r="E127" s="78"/>
      <c r="F127" s="24"/>
      <c r="G127" s="24"/>
      <c r="H127" s="19"/>
      <c r="I127" s="19"/>
      <c r="J127" s="14"/>
      <c r="K127" s="14"/>
      <c r="L127" s="2"/>
    </row>
    <row r="128" spans="1:12" s="6" customFormat="1" hidden="1" x14ac:dyDescent="0.25">
      <c r="A128" s="4"/>
      <c r="B128" s="3"/>
      <c r="C128" s="73"/>
      <c r="D128" s="33"/>
      <c r="E128" s="78"/>
      <c r="F128" s="24"/>
      <c r="G128" s="24"/>
      <c r="H128" s="19"/>
      <c r="I128" s="19"/>
      <c r="J128" s="49"/>
      <c r="K128" s="49"/>
      <c r="L128" s="2"/>
    </row>
    <row r="129" spans="1:12" s="6" customFormat="1" hidden="1" x14ac:dyDescent="0.25">
      <c r="A129" s="4"/>
      <c r="B129" s="3"/>
      <c r="C129" s="73"/>
      <c r="D129" s="33"/>
      <c r="E129" s="78"/>
      <c r="F129" s="24"/>
      <c r="G129" s="24"/>
      <c r="H129" s="19"/>
      <c r="I129" s="19"/>
      <c r="J129" s="49"/>
      <c r="K129" s="49"/>
      <c r="L129" s="2"/>
    </row>
    <row r="130" spans="1:12" s="6" customFormat="1" hidden="1" x14ac:dyDescent="0.25">
      <c r="A130" s="4"/>
      <c r="B130" s="3"/>
      <c r="C130" s="73"/>
      <c r="D130" s="33"/>
      <c r="E130" s="78"/>
      <c r="F130" s="24"/>
      <c r="G130" s="24"/>
      <c r="H130" s="19"/>
      <c r="I130" s="19"/>
      <c r="J130" s="49"/>
      <c r="K130" s="49"/>
      <c r="L130" s="2"/>
    </row>
    <row r="131" spans="1:12" s="6" customFormat="1" hidden="1" x14ac:dyDescent="0.25">
      <c r="A131" s="4"/>
      <c r="B131" s="3"/>
      <c r="C131" s="73"/>
      <c r="D131" s="33"/>
      <c r="E131" s="78"/>
      <c r="F131" s="24"/>
      <c r="G131" s="24"/>
      <c r="H131" s="19"/>
      <c r="I131" s="19"/>
      <c r="J131" s="49"/>
      <c r="K131" s="49"/>
      <c r="L131" s="2"/>
    </row>
    <row r="132" spans="1:12" s="6" customFormat="1" hidden="1" x14ac:dyDescent="0.25">
      <c r="A132" s="4"/>
      <c r="B132" s="3"/>
      <c r="C132" s="73"/>
      <c r="D132" s="33"/>
      <c r="E132" s="78"/>
      <c r="F132" s="24"/>
      <c r="G132" s="24"/>
      <c r="H132" s="19"/>
      <c r="I132" s="19"/>
      <c r="J132" s="49"/>
      <c r="K132" s="49"/>
      <c r="L132" s="2"/>
    </row>
    <row r="133" spans="1:12" s="6" customFormat="1" hidden="1" x14ac:dyDescent="0.25">
      <c r="A133" s="4"/>
      <c r="B133" s="3"/>
      <c r="C133" s="73"/>
      <c r="D133" s="33"/>
      <c r="E133" s="78"/>
      <c r="F133" s="24"/>
      <c r="G133" s="24"/>
      <c r="H133" s="19"/>
      <c r="I133" s="19"/>
      <c r="J133" s="49"/>
      <c r="K133" s="49"/>
      <c r="L133" s="2"/>
    </row>
    <row r="134" spans="1:12" s="6" customFormat="1" hidden="1" x14ac:dyDescent="0.25">
      <c r="A134" s="4"/>
      <c r="B134" s="3"/>
      <c r="C134" s="73"/>
      <c r="D134" s="33"/>
      <c r="E134" s="78"/>
      <c r="F134" s="24"/>
      <c r="G134" s="24"/>
      <c r="H134" s="19"/>
      <c r="I134" s="19"/>
      <c r="J134" s="49"/>
      <c r="K134" s="49"/>
      <c r="L134" s="2"/>
    </row>
    <row r="135" spans="1:12" hidden="1" x14ac:dyDescent="0.25">
      <c r="A135" s="2"/>
      <c r="B135" s="15"/>
      <c r="C135" s="73"/>
      <c r="D135" s="25"/>
      <c r="E135" s="78"/>
      <c r="F135" s="24"/>
      <c r="G135" s="24" t="str">
        <f t="shared" si="1"/>
        <v/>
      </c>
      <c r="H135" s="19"/>
      <c r="I135" s="19"/>
      <c r="J135" s="28"/>
      <c r="K135" s="28"/>
      <c r="L135" s="2"/>
    </row>
    <row r="136" spans="1:12" hidden="1" x14ac:dyDescent="0.25">
      <c r="A136" s="71" t="s">
        <v>35</v>
      </c>
      <c r="B136" s="4"/>
      <c r="C136" s="73"/>
      <c r="D136" s="25"/>
      <c r="E136" s="78"/>
      <c r="F136" s="24"/>
      <c r="G136" s="24"/>
      <c r="H136" s="19"/>
      <c r="I136" s="19"/>
      <c r="J136" s="28"/>
      <c r="K136" s="28"/>
      <c r="L136" s="2"/>
    </row>
    <row r="137" spans="1:12" hidden="1" x14ac:dyDescent="0.25">
      <c r="A137" s="2" t="s">
        <v>65</v>
      </c>
      <c r="B137" s="4" t="s">
        <v>37</v>
      </c>
      <c r="C137" s="73"/>
      <c r="D137" s="25"/>
      <c r="E137" s="78"/>
      <c r="F137" s="24"/>
      <c r="G137" s="24"/>
      <c r="H137" s="19"/>
      <c r="I137" s="19"/>
      <c r="J137" s="28"/>
      <c r="K137" s="28"/>
      <c r="L137" s="2"/>
    </row>
    <row r="138" spans="1:12" hidden="1" x14ac:dyDescent="0.25">
      <c r="A138" s="2" t="s">
        <v>66</v>
      </c>
      <c r="B138" s="4" t="s">
        <v>45</v>
      </c>
      <c r="C138" s="73"/>
      <c r="D138" s="25"/>
      <c r="E138" s="78"/>
      <c r="F138" s="24"/>
      <c r="G138" s="24"/>
      <c r="H138" s="19"/>
      <c r="I138" s="19"/>
      <c r="J138" s="28"/>
      <c r="K138" s="28"/>
      <c r="L138" s="2"/>
    </row>
    <row r="139" spans="1:12" hidden="1" x14ac:dyDescent="0.25">
      <c r="A139" s="2" t="s">
        <v>67</v>
      </c>
      <c r="B139" s="4" t="s">
        <v>45</v>
      </c>
      <c r="C139" s="73"/>
      <c r="D139" s="25"/>
      <c r="E139" s="78"/>
      <c r="F139" s="24"/>
      <c r="G139" s="24"/>
      <c r="H139" s="19"/>
      <c r="I139" s="19"/>
      <c r="J139" s="28"/>
      <c r="K139" s="28"/>
      <c r="L139" s="2"/>
    </row>
    <row r="140" spans="1:12" hidden="1" x14ac:dyDescent="0.25">
      <c r="A140" s="2" t="s">
        <v>58</v>
      </c>
      <c r="B140" s="4" t="s">
        <v>45</v>
      </c>
      <c r="C140" s="73"/>
      <c r="D140" s="25"/>
      <c r="E140" s="78"/>
      <c r="F140" s="24"/>
      <c r="G140" s="24"/>
      <c r="H140" s="19"/>
      <c r="I140" s="19"/>
      <c r="J140" s="28"/>
      <c r="K140" s="28"/>
      <c r="L140" s="2"/>
    </row>
    <row r="141" spans="1:12" hidden="1" x14ac:dyDescent="0.25">
      <c r="A141" s="2" t="s">
        <v>56</v>
      </c>
      <c r="B141" s="4" t="s">
        <v>45</v>
      </c>
      <c r="C141" s="73"/>
      <c r="D141" s="25"/>
      <c r="E141" s="78"/>
      <c r="F141" s="24"/>
      <c r="G141" s="24"/>
      <c r="H141" s="19"/>
      <c r="I141" s="19"/>
      <c r="J141" s="28"/>
      <c r="K141" s="28"/>
      <c r="L141" s="2"/>
    </row>
    <row r="142" spans="1:12" hidden="1" x14ac:dyDescent="0.25">
      <c r="A142" s="70"/>
      <c r="B142" s="4"/>
      <c r="C142" s="73"/>
      <c r="D142" s="25"/>
      <c r="E142" s="78"/>
      <c r="F142" s="24"/>
      <c r="G142" s="24"/>
      <c r="H142" s="19"/>
      <c r="I142" s="19"/>
      <c r="J142" s="14"/>
      <c r="K142" s="14"/>
      <c r="L142" s="2"/>
    </row>
    <row r="143" spans="1:12" s="6" customFormat="1" hidden="1" x14ac:dyDescent="0.25">
      <c r="A143" s="4"/>
      <c r="B143" s="3"/>
      <c r="C143" s="73"/>
      <c r="D143" s="33"/>
      <c r="E143" s="78"/>
      <c r="F143" s="24"/>
      <c r="G143" s="24"/>
      <c r="H143" s="19"/>
      <c r="I143" s="19"/>
      <c r="J143" s="49"/>
      <c r="K143" s="49"/>
      <c r="L143" s="2"/>
    </row>
    <row r="144" spans="1:12" s="6" customFormat="1" hidden="1" x14ac:dyDescent="0.25">
      <c r="A144" s="4"/>
      <c r="B144" s="3"/>
      <c r="C144" s="73"/>
      <c r="D144" s="33"/>
      <c r="E144" s="78"/>
      <c r="F144" s="24"/>
      <c r="G144" s="24"/>
      <c r="H144" s="19"/>
      <c r="I144" s="19"/>
      <c r="J144" s="49"/>
      <c r="K144" s="49"/>
      <c r="L144" s="2"/>
    </row>
    <row r="145" spans="1:12" s="6" customFormat="1" hidden="1" x14ac:dyDescent="0.25">
      <c r="A145" s="4"/>
      <c r="B145" s="3"/>
      <c r="C145" s="73"/>
      <c r="D145" s="33"/>
      <c r="E145" s="78"/>
      <c r="F145" s="24"/>
      <c r="G145" s="24"/>
      <c r="H145" s="19"/>
      <c r="I145" s="19"/>
      <c r="J145" s="49"/>
      <c r="K145" s="49"/>
      <c r="L145" s="2"/>
    </row>
    <row r="146" spans="1:12" s="6" customFormat="1" hidden="1" x14ac:dyDescent="0.25">
      <c r="A146" s="4"/>
      <c r="B146" s="3"/>
      <c r="C146" s="73"/>
      <c r="D146" s="33"/>
      <c r="E146" s="78"/>
      <c r="F146" s="24"/>
      <c r="G146" s="24"/>
      <c r="H146" s="19"/>
      <c r="I146" s="19"/>
      <c r="J146" s="49"/>
      <c r="K146" s="49"/>
      <c r="L146" s="2"/>
    </row>
    <row r="147" spans="1:12" s="6" customFormat="1" hidden="1" x14ac:dyDescent="0.25">
      <c r="A147" s="4"/>
      <c r="B147" s="3"/>
      <c r="C147" s="73"/>
      <c r="D147" s="33"/>
      <c r="E147" s="78"/>
      <c r="F147" s="24"/>
      <c r="G147" s="24"/>
      <c r="H147" s="19"/>
      <c r="I147" s="19"/>
      <c r="J147" s="49"/>
      <c r="K147" s="49"/>
      <c r="L147" s="2"/>
    </row>
    <row r="148" spans="1:12" s="6" customFormat="1" hidden="1" x14ac:dyDescent="0.25">
      <c r="A148" s="4"/>
      <c r="B148" s="3"/>
      <c r="C148" s="73"/>
      <c r="D148" s="33"/>
      <c r="E148" s="78"/>
      <c r="F148" s="24"/>
      <c r="G148" s="24"/>
      <c r="H148" s="19"/>
      <c r="I148" s="19"/>
      <c r="J148" s="49"/>
      <c r="K148" s="49"/>
      <c r="L148" s="2"/>
    </row>
    <row r="149" spans="1:12" s="6" customFormat="1" hidden="1" x14ac:dyDescent="0.25">
      <c r="A149" s="4"/>
      <c r="B149" s="3"/>
      <c r="C149" s="73"/>
      <c r="D149" s="33"/>
      <c r="E149" s="78"/>
      <c r="F149" s="24"/>
      <c r="G149" s="24"/>
      <c r="H149" s="19"/>
      <c r="I149" s="19"/>
      <c r="J149" s="49"/>
      <c r="K149" s="49"/>
      <c r="L149" s="2"/>
    </row>
    <row r="150" spans="1:12" hidden="1" x14ac:dyDescent="0.25">
      <c r="A150" s="2"/>
      <c r="B150" s="15"/>
      <c r="C150" s="73"/>
      <c r="D150" s="25"/>
      <c r="E150" s="78"/>
      <c r="F150" s="24"/>
      <c r="G150" s="24" t="str">
        <f t="shared" si="1"/>
        <v/>
      </c>
      <c r="H150" s="19"/>
      <c r="I150" s="19"/>
      <c r="J150" s="28"/>
      <c r="K150" s="28"/>
      <c r="L150" s="2"/>
    </row>
    <row r="151" spans="1:12" hidden="1" x14ac:dyDescent="0.25">
      <c r="A151" s="2"/>
      <c r="B151" s="4"/>
      <c r="C151" s="73"/>
      <c r="D151" s="25"/>
      <c r="E151" s="78"/>
      <c r="F151" s="24"/>
      <c r="G151" s="24" t="str">
        <f t="shared" si="1"/>
        <v/>
      </c>
      <c r="H151" s="19"/>
      <c r="I151" s="19"/>
      <c r="J151" s="28"/>
      <c r="K151" s="28"/>
      <c r="L151" s="2"/>
    </row>
    <row r="152" spans="1:12" ht="41.4" hidden="1" x14ac:dyDescent="0.25">
      <c r="A152" s="10" t="s">
        <v>68</v>
      </c>
      <c r="B152" s="11" t="s">
        <v>10</v>
      </c>
      <c r="C152" s="89" t="s">
        <v>1</v>
      </c>
      <c r="D152" s="11" t="s">
        <v>11</v>
      </c>
      <c r="E152" s="10" t="s">
        <v>12</v>
      </c>
      <c r="F152" s="35" t="s">
        <v>13</v>
      </c>
      <c r="G152" s="35" t="s">
        <v>14</v>
      </c>
      <c r="H152" s="35" t="s">
        <v>15</v>
      </c>
      <c r="I152" s="18" t="s">
        <v>16</v>
      </c>
      <c r="J152" s="18" t="s">
        <v>17</v>
      </c>
      <c r="K152" s="18" t="s">
        <v>18</v>
      </c>
      <c r="L152" s="11" t="s">
        <v>19</v>
      </c>
    </row>
    <row r="153" spans="1:12" hidden="1" x14ac:dyDescent="0.25">
      <c r="A153" s="66" t="s">
        <v>22</v>
      </c>
      <c r="B153" s="11"/>
      <c r="C153" s="89"/>
      <c r="D153" s="11"/>
      <c r="E153" s="10"/>
      <c r="F153" s="35"/>
      <c r="G153" s="35"/>
      <c r="H153" s="35"/>
      <c r="I153" s="18"/>
      <c r="J153" s="18"/>
      <c r="K153" s="18"/>
      <c r="L153" s="11"/>
    </row>
    <row r="154" spans="1:12" hidden="1" x14ac:dyDescent="0.25">
      <c r="A154" s="66" t="s">
        <v>25</v>
      </c>
      <c r="B154" s="11"/>
      <c r="C154" s="89"/>
      <c r="D154" s="11"/>
      <c r="E154" s="10"/>
      <c r="F154" s="35"/>
      <c r="G154" s="35"/>
      <c r="H154" s="35"/>
      <c r="I154" s="18"/>
      <c r="J154" s="18"/>
      <c r="K154" s="18"/>
      <c r="L154" s="11"/>
    </row>
    <row r="155" spans="1:12" hidden="1" x14ac:dyDescent="0.25">
      <c r="A155" s="46" t="s">
        <v>26</v>
      </c>
      <c r="B155" s="15"/>
      <c r="C155" s="73"/>
      <c r="D155" s="34"/>
      <c r="E155" s="78"/>
      <c r="F155" s="24"/>
      <c r="G155" s="24" t="str">
        <f t="shared" si="1"/>
        <v/>
      </c>
      <c r="H155" s="19"/>
      <c r="I155" s="19"/>
      <c r="J155" s="28"/>
      <c r="K155" s="28"/>
      <c r="L155" s="2"/>
    </row>
    <row r="156" spans="1:12" hidden="1" x14ac:dyDescent="0.25">
      <c r="A156" s="2" t="s">
        <v>65</v>
      </c>
      <c r="B156" s="4" t="s">
        <v>39</v>
      </c>
      <c r="C156" s="73"/>
      <c r="D156" s="25"/>
      <c r="E156" s="78"/>
      <c r="F156" s="24"/>
      <c r="G156" s="24" t="str">
        <f t="shared" si="1"/>
        <v/>
      </c>
      <c r="H156" s="19"/>
      <c r="I156" s="19"/>
      <c r="J156" s="29"/>
      <c r="K156" s="29"/>
      <c r="L156" s="2"/>
    </row>
    <row r="157" spans="1:12" hidden="1" x14ac:dyDescent="0.25">
      <c r="A157" s="4" t="s">
        <v>69</v>
      </c>
      <c r="B157" s="4" t="s">
        <v>28</v>
      </c>
      <c r="C157" s="73"/>
      <c r="D157" s="25"/>
      <c r="E157" s="78"/>
      <c r="F157" s="24"/>
      <c r="G157" s="24" t="str">
        <f t="shared" si="1"/>
        <v/>
      </c>
      <c r="H157" s="19"/>
      <c r="I157" s="19"/>
      <c r="J157" s="29"/>
      <c r="K157" s="29"/>
      <c r="L157" s="2"/>
    </row>
    <row r="158" spans="1:12" hidden="1" x14ac:dyDescent="0.25">
      <c r="A158" s="4" t="s">
        <v>70</v>
      </c>
      <c r="B158" s="4" t="s">
        <v>28</v>
      </c>
      <c r="C158" s="73"/>
      <c r="D158" s="25"/>
      <c r="E158" s="78"/>
      <c r="F158" s="24"/>
      <c r="G158" s="24" t="str">
        <f t="shared" si="1"/>
        <v/>
      </c>
      <c r="H158" s="19"/>
      <c r="I158" s="19"/>
      <c r="J158" s="29"/>
      <c r="K158" s="29"/>
      <c r="L158" s="2"/>
    </row>
    <row r="159" spans="1:12" s="6" customFormat="1" hidden="1" x14ac:dyDescent="0.25">
      <c r="A159" s="4" t="s">
        <v>71</v>
      </c>
      <c r="B159" s="4" t="s">
        <v>28</v>
      </c>
      <c r="C159" s="73"/>
      <c r="D159" s="33"/>
      <c r="E159" s="78"/>
      <c r="F159" s="24"/>
      <c r="G159" s="24" t="str">
        <f t="shared" si="1"/>
        <v/>
      </c>
      <c r="H159" s="19"/>
      <c r="I159" s="19"/>
      <c r="J159" s="49"/>
      <c r="K159" s="49"/>
      <c r="L159" s="2"/>
    </row>
    <row r="160" spans="1:12" s="6" customFormat="1" hidden="1" x14ac:dyDescent="0.25">
      <c r="A160" s="75" t="s">
        <v>72</v>
      </c>
      <c r="B160" s="4" t="s">
        <v>28</v>
      </c>
      <c r="C160" s="73"/>
      <c r="D160" s="33"/>
      <c r="E160" s="78"/>
      <c r="F160" s="24"/>
      <c r="G160" s="24"/>
      <c r="H160" s="19"/>
      <c r="I160" s="19"/>
      <c r="J160" s="49"/>
      <c r="K160" s="49"/>
      <c r="L160" s="2"/>
    </row>
    <row r="161" spans="1:12" s="6" customFormat="1" hidden="1" x14ac:dyDescent="0.25">
      <c r="A161" s="75" t="s">
        <v>50</v>
      </c>
      <c r="B161" s="4" t="s">
        <v>28</v>
      </c>
      <c r="C161" s="73"/>
      <c r="D161" s="33"/>
      <c r="E161" s="78"/>
      <c r="F161" s="24"/>
      <c r="G161" s="24"/>
      <c r="H161" s="19"/>
      <c r="I161" s="19"/>
      <c r="J161" s="49"/>
      <c r="K161" s="49"/>
      <c r="L161" s="2"/>
    </row>
    <row r="162" spans="1:12" s="6" customFormat="1" hidden="1" x14ac:dyDescent="0.25">
      <c r="A162" s="4" t="s">
        <v>73</v>
      </c>
      <c r="B162" s="4" t="s">
        <v>28</v>
      </c>
      <c r="C162" s="73"/>
      <c r="D162" s="33"/>
      <c r="E162" s="78"/>
      <c r="F162" s="24"/>
      <c r="G162" s="24"/>
      <c r="H162" s="19"/>
      <c r="I162" s="19"/>
      <c r="J162" s="49"/>
      <c r="K162" s="49"/>
      <c r="L162" s="2"/>
    </row>
    <row r="163" spans="1:12" s="6" customFormat="1" hidden="1" x14ac:dyDescent="0.25">
      <c r="A163" s="4" t="s">
        <v>74</v>
      </c>
      <c r="B163" s="4" t="s">
        <v>28</v>
      </c>
      <c r="C163" s="73"/>
      <c r="D163" s="33"/>
      <c r="E163" s="78"/>
      <c r="F163" s="24"/>
      <c r="G163" s="24"/>
      <c r="H163" s="19"/>
      <c r="I163" s="19"/>
      <c r="J163" s="49"/>
      <c r="K163" s="49"/>
      <c r="L163" s="2"/>
    </row>
    <row r="164" spans="1:12" s="6" customFormat="1" hidden="1" x14ac:dyDescent="0.25">
      <c r="A164" s="4" t="s">
        <v>75</v>
      </c>
      <c r="B164" s="4" t="s">
        <v>28</v>
      </c>
      <c r="C164" s="73"/>
      <c r="D164" s="33"/>
      <c r="E164" s="78"/>
      <c r="F164" s="24"/>
      <c r="G164" s="24"/>
      <c r="H164" s="19"/>
      <c r="I164" s="19"/>
      <c r="J164" s="49"/>
      <c r="K164" s="49"/>
      <c r="L164" s="2"/>
    </row>
    <row r="165" spans="1:12" s="6" customFormat="1" hidden="1" x14ac:dyDescent="0.25">
      <c r="A165" s="4" t="s">
        <v>76</v>
      </c>
      <c r="B165" s="4" t="s">
        <v>28</v>
      </c>
      <c r="C165" s="73"/>
      <c r="D165" s="33"/>
      <c r="E165" s="78"/>
      <c r="F165" s="24"/>
      <c r="G165" s="24"/>
      <c r="H165" s="19"/>
      <c r="I165" s="19"/>
      <c r="J165" s="49"/>
      <c r="K165" s="49"/>
      <c r="L165" s="2"/>
    </row>
    <row r="166" spans="1:12" s="6" customFormat="1" hidden="1" x14ac:dyDescent="0.25">
      <c r="A166" s="4" t="s">
        <v>77</v>
      </c>
      <c r="B166" s="4" t="s">
        <v>28</v>
      </c>
      <c r="C166" s="73"/>
      <c r="D166" s="33"/>
      <c r="E166" s="78"/>
      <c r="F166" s="24"/>
      <c r="G166" s="24"/>
      <c r="H166" s="19"/>
      <c r="I166" s="19"/>
      <c r="J166" s="49"/>
      <c r="K166" s="49"/>
      <c r="L166" s="2"/>
    </row>
    <row r="167" spans="1:12" s="6" customFormat="1" hidden="1" x14ac:dyDescent="0.25">
      <c r="A167" s="4" t="s">
        <v>78</v>
      </c>
      <c r="B167" s="4" t="s">
        <v>33</v>
      </c>
      <c r="C167" s="73"/>
      <c r="D167" s="33"/>
      <c r="E167" s="78"/>
      <c r="F167" s="24"/>
      <c r="G167" s="24"/>
      <c r="H167" s="19"/>
      <c r="I167" s="19"/>
      <c r="J167" s="49"/>
      <c r="K167" s="49"/>
      <c r="L167" s="2"/>
    </row>
    <row r="168" spans="1:12" s="6" customFormat="1" hidden="1" x14ac:dyDescent="0.25">
      <c r="A168" s="2" t="s">
        <v>79</v>
      </c>
      <c r="B168" s="4" t="s">
        <v>33</v>
      </c>
      <c r="C168" s="73"/>
      <c r="D168" s="33"/>
      <c r="E168" s="78"/>
      <c r="F168" s="24"/>
      <c r="G168" s="24"/>
      <c r="H168" s="19"/>
      <c r="I168" s="19"/>
      <c r="J168" s="49"/>
      <c r="K168" s="49"/>
      <c r="L168" s="2"/>
    </row>
    <row r="169" spans="1:12" hidden="1" x14ac:dyDescent="0.25">
      <c r="A169" s="70"/>
      <c r="B169" s="4"/>
      <c r="C169" s="73"/>
      <c r="D169" s="25"/>
      <c r="E169" s="78"/>
      <c r="F169" s="24"/>
      <c r="G169" s="24"/>
      <c r="H169" s="19"/>
      <c r="I169" s="19"/>
      <c r="J169" s="14"/>
      <c r="K169" s="14"/>
      <c r="L169" s="2"/>
    </row>
    <row r="170" spans="1:12" s="6" customFormat="1" hidden="1" x14ac:dyDescent="0.25">
      <c r="A170" s="4"/>
      <c r="B170" s="3"/>
      <c r="C170" s="73"/>
      <c r="D170" s="33"/>
      <c r="E170" s="78"/>
      <c r="F170" s="24"/>
      <c r="G170" s="24"/>
      <c r="H170" s="19"/>
      <c r="I170" s="19"/>
      <c r="J170" s="49"/>
      <c r="K170" s="49"/>
      <c r="L170" s="2"/>
    </row>
    <row r="171" spans="1:12" s="6" customFormat="1" hidden="1" x14ac:dyDescent="0.25">
      <c r="A171" s="4"/>
      <c r="B171" s="3"/>
      <c r="C171" s="73"/>
      <c r="D171" s="33"/>
      <c r="E171" s="78"/>
      <c r="F171" s="24"/>
      <c r="G171" s="24"/>
      <c r="H171" s="19"/>
      <c r="I171" s="19"/>
      <c r="J171" s="49"/>
      <c r="K171" s="49"/>
      <c r="L171" s="2"/>
    </row>
    <row r="172" spans="1:12" s="6" customFormat="1" hidden="1" x14ac:dyDescent="0.25">
      <c r="A172" s="4"/>
      <c r="B172" s="3"/>
      <c r="C172" s="73"/>
      <c r="D172" s="33"/>
      <c r="E172" s="78"/>
      <c r="F172" s="24"/>
      <c r="G172" s="24"/>
      <c r="H172" s="19"/>
      <c r="I172" s="19"/>
      <c r="J172" s="49"/>
      <c r="K172" s="49"/>
      <c r="L172" s="2"/>
    </row>
    <row r="173" spans="1:12" s="6" customFormat="1" hidden="1" x14ac:dyDescent="0.25">
      <c r="A173" s="4"/>
      <c r="B173" s="3"/>
      <c r="C173" s="73"/>
      <c r="D173" s="33"/>
      <c r="E173" s="78"/>
      <c r="F173" s="24"/>
      <c r="G173" s="24"/>
      <c r="H173" s="19"/>
      <c r="I173" s="19"/>
      <c r="J173" s="49"/>
      <c r="K173" s="49"/>
      <c r="L173" s="2"/>
    </row>
    <row r="174" spans="1:12" s="6" customFormat="1" hidden="1" x14ac:dyDescent="0.25">
      <c r="A174" s="4"/>
      <c r="B174" s="3"/>
      <c r="C174" s="73"/>
      <c r="D174" s="33"/>
      <c r="E174" s="78"/>
      <c r="F174" s="24"/>
      <c r="G174" s="24"/>
      <c r="H174" s="19"/>
      <c r="I174" s="19"/>
      <c r="J174" s="49"/>
      <c r="K174" s="49"/>
      <c r="L174" s="2"/>
    </row>
    <row r="175" spans="1:12" s="6" customFormat="1" hidden="1" x14ac:dyDescent="0.25">
      <c r="A175" s="4"/>
      <c r="B175" s="3"/>
      <c r="C175" s="73"/>
      <c r="D175" s="33"/>
      <c r="E175" s="78"/>
      <c r="F175" s="24"/>
      <c r="G175" s="24"/>
      <c r="H175" s="19"/>
      <c r="I175" s="19"/>
      <c r="J175" s="49"/>
      <c r="K175" s="49"/>
      <c r="L175" s="2"/>
    </row>
    <row r="176" spans="1:12" s="6" customFormat="1" hidden="1" x14ac:dyDescent="0.25">
      <c r="A176" s="4"/>
      <c r="B176" s="3"/>
      <c r="C176" s="73"/>
      <c r="D176" s="33"/>
      <c r="E176" s="78"/>
      <c r="F176" s="24"/>
      <c r="G176" s="24"/>
      <c r="H176" s="19"/>
      <c r="I176" s="19"/>
      <c r="J176" s="49"/>
      <c r="K176" s="49"/>
      <c r="L176" s="2"/>
    </row>
    <row r="177" spans="1:12" hidden="1" x14ac:dyDescent="0.25">
      <c r="A177" s="2"/>
      <c r="B177" s="15"/>
      <c r="C177" s="73"/>
      <c r="D177" s="25"/>
      <c r="E177" s="78"/>
      <c r="F177" s="24"/>
      <c r="G177" s="24" t="str">
        <f t="shared" si="1"/>
        <v/>
      </c>
      <c r="H177" s="19"/>
      <c r="I177" s="19"/>
      <c r="J177" s="28"/>
      <c r="K177" s="28"/>
      <c r="L177" s="2"/>
    </row>
    <row r="178" spans="1:12" s="6" customFormat="1" hidden="1" x14ac:dyDescent="0.25">
      <c r="A178" s="70"/>
      <c r="B178" s="4"/>
      <c r="C178" s="73"/>
      <c r="D178" s="33"/>
      <c r="E178" s="78"/>
      <c r="F178" s="24"/>
      <c r="G178" s="24"/>
      <c r="H178" s="19"/>
      <c r="I178" s="19"/>
      <c r="J178" s="49"/>
      <c r="K178" s="49"/>
      <c r="L178" s="2"/>
    </row>
    <row r="179" spans="1:12" s="63" customFormat="1" hidden="1" x14ac:dyDescent="0.25">
      <c r="A179" s="72" t="s">
        <v>35</v>
      </c>
      <c r="B179" s="56"/>
      <c r="C179" s="90"/>
      <c r="D179" s="57"/>
      <c r="E179" s="82"/>
      <c r="F179" s="59"/>
      <c r="G179" s="59" t="str">
        <f t="shared" si="1"/>
        <v/>
      </c>
      <c r="H179" s="60"/>
      <c r="I179" s="60"/>
      <c r="J179" s="61"/>
      <c r="K179" s="61"/>
      <c r="L179" s="62"/>
    </row>
    <row r="180" spans="1:12" s="6" customFormat="1" hidden="1" x14ac:dyDescent="0.25">
      <c r="A180" s="4" t="s">
        <v>80</v>
      </c>
      <c r="B180" s="4" t="s">
        <v>37</v>
      </c>
      <c r="C180" s="73"/>
      <c r="D180" s="33"/>
      <c r="E180" s="78"/>
      <c r="F180" s="24"/>
      <c r="G180" s="24" t="str">
        <f t="shared" si="1"/>
        <v/>
      </c>
      <c r="H180" s="19"/>
      <c r="I180" s="19"/>
      <c r="J180" s="14"/>
      <c r="K180" s="14"/>
      <c r="L180" s="2"/>
    </row>
    <row r="181" spans="1:12" s="6" customFormat="1" hidden="1" x14ac:dyDescent="0.25">
      <c r="A181" s="4" t="s">
        <v>81</v>
      </c>
      <c r="B181" s="4" t="s">
        <v>45</v>
      </c>
      <c r="C181" s="73"/>
      <c r="D181" s="33"/>
      <c r="E181" s="78"/>
      <c r="F181" s="24"/>
      <c r="G181" s="24" t="str">
        <f t="shared" si="1"/>
        <v/>
      </c>
      <c r="H181" s="19"/>
      <c r="I181" s="19"/>
      <c r="J181" s="14"/>
      <c r="K181" s="14"/>
      <c r="L181" s="2"/>
    </row>
    <row r="182" spans="1:12" s="6" customFormat="1" hidden="1" x14ac:dyDescent="0.25">
      <c r="A182" s="4" t="s">
        <v>58</v>
      </c>
      <c r="B182" s="4" t="s">
        <v>45</v>
      </c>
      <c r="C182" s="73"/>
      <c r="D182" s="33"/>
      <c r="E182" s="78"/>
      <c r="F182" s="24"/>
      <c r="G182" s="24"/>
      <c r="H182" s="19"/>
      <c r="I182" s="19"/>
      <c r="J182" s="14"/>
      <c r="K182" s="14"/>
      <c r="L182" s="2"/>
    </row>
    <row r="183" spans="1:12" hidden="1" x14ac:dyDescent="0.25">
      <c r="A183" s="2" t="s">
        <v>57</v>
      </c>
      <c r="B183" s="4" t="s">
        <v>45</v>
      </c>
      <c r="C183" s="73"/>
      <c r="D183" s="25"/>
      <c r="E183" s="78"/>
      <c r="F183" s="24"/>
      <c r="G183" s="24" t="str">
        <f t="shared" si="1"/>
        <v/>
      </c>
      <c r="H183" s="19"/>
      <c r="I183" s="19"/>
      <c r="J183" s="28"/>
      <c r="K183" s="28"/>
      <c r="L183" s="2"/>
    </row>
    <row r="184" spans="1:12" hidden="1" x14ac:dyDescent="0.25">
      <c r="A184" s="2" t="s">
        <v>82</v>
      </c>
      <c r="B184" s="4" t="s">
        <v>45</v>
      </c>
      <c r="C184" s="73"/>
      <c r="D184" s="25"/>
      <c r="E184" s="78"/>
      <c r="F184" s="24"/>
      <c r="G184" s="24"/>
      <c r="H184" s="19"/>
      <c r="I184" s="19"/>
      <c r="J184" s="28"/>
      <c r="K184" s="28"/>
      <c r="L184" s="2"/>
    </row>
    <row r="185" spans="1:12" hidden="1" x14ac:dyDescent="0.25">
      <c r="A185" s="2" t="s">
        <v>83</v>
      </c>
      <c r="B185" s="4" t="s">
        <v>45</v>
      </c>
      <c r="C185" s="73"/>
      <c r="D185" s="25"/>
      <c r="E185" s="78"/>
      <c r="F185" s="24"/>
      <c r="G185" s="24" t="str">
        <f t="shared" si="1"/>
        <v/>
      </c>
      <c r="H185" s="19"/>
      <c r="I185" s="19"/>
      <c r="J185" s="28"/>
      <c r="K185" s="28"/>
      <c r="L185" s="2"/>
    </row>
    <row r="186" spans="1:12" hidden="1" x14ac:dyDescent="0.25">
      <c r="A186" s="70"/>
      <c r="B186" s="4"/>
      <c r="C186" s="73"/>
      <c r="D186" s="25"/>
      <c r="E186" s="78"/>
      <c r="F186" s="24"/>
      <c r="G186" s="24"/>
      <c r="H186" s="19"/>
      <c r="I186" s="19"/>
      <c r="J186" s="14"/>
      <c r="K186" s="14"/>
      <c r="L186" s="2"/>
    </row>
    <row r="187" spans="1:12" s="6" customFormat="1" hidden="1" x14ac:dyDescent="0.25">
      <c r="A187" s="4"/>
      <c r="B187" s="3"/>
      <c r="C187" s="73"/>
      <c r="D187" s="33"/>
      <c r="E187" s="78"/>
      <c r="F187" s="24"/>
      <c r="G187" s="24"/>
      <c r="H187" s="19"/>
      <c r="I187" s="19"/>
      <c r="J187" s="49"/>
      <c r="K187" s="49"/>
      <c r="L187" s="2"/>
    </row>
    <row r="188" spans="1:12" s="6" customFormat="1" hidden="1" x14ac:dyDescent="0.25">
      <c r="A188" s="4"/>
      <c r="B188" s="3"/>
      <c r="C188" s="73"/>
      <c r="D188" s="33"/>
      <c r="E188" s="78"/>
      <c r="F188" s="24"/>
      <c r="G188" s="24"/>
      <c r="H188" s="19"/>
      <c r="I188" s="19"/>
      <c r="J188" s="49"/>
      <c r="K188" s="49"/>
      <c r="L188" s="2"/>
    </row>
    <row r="189" spans="1:12" s="6" customFormat="1" hidden="1" x14ac:dyDescent="0.25">
      <c r="A189" s="4"/>
      <c r="B189" s="3"/>
      <c r="C189" s="73"/>
      <c r="D189" s="33"/>
      <c r="E189" s="78"/>
      <c r="F189" s="24"/>
      <c r="G189" s="24"/>
      <c r="H189" s="19"/>
      <c r="I189" s="19"/>
      <c r="J189" s="49"/>
      <c r="K189" s="49"/>
      <c r="L189" s="2"/>
    </row>
    <row r="190" spans="1:12" s="6" customFormat="1" hidden="1" x14ac:dyDescent="0.25">
      <c r="A190" s="4"/>
      <c r="B190" s="3"/>
      <c r="C190" s="73"/>
      <c r="D190" s="33"/>
      <c r="E190" s="78"/>
      <c r="F190" s="24"/>
      <c r="G190" s="24"/>
      <c r="H190" s="19"/>
      <c r="I190" s="19"/>
      <c r="J190" s="49"/>
      <c r="K190" s="49"/>
      <c r="L190" s="2"/>
    </row>
    <row r="191" spans="1:12" s="6" customFormat="1" hidden="1" x14ac:dyDescent="0.25">
      <c r="A191" s="4"/>
      <c r="B191" s="3"/>
      <c r="C191" s="73"/>
      <c r="D191" s="33"/>
      <c r="E191" s="78"/>
      <c r="F191" s="24"/>
      <c r="G191" s="24"/>
      <c r="H191" s="19"/>
      <c r="I191" s="19"/>
      <c r="J191" s="49"/>
      <c r="K191" s="49"/>
      <c r="L191" s="2"/>
    </row>
    <row r="192" spans="1:12" s="6" customFormat="1" hidden="1" x14ac:dyDescent="0.25">
      <c r="A192" s="4"/>
      <c r="B192" s="3"/>
      <c r="C192" s="73"/>
      <c r="D192" s="33"/>
      <c r="E192" s="78"/>
      <c r="F192" s="24"/>
      <c r="G192" s="24"/>
      <c r="H192" s="19"/>
      <c r="I192" s="19"/>
      <c r="J192" s="49"/>
      <c r="K192" s="49"/>
      <c r="L192" s="2"/>
    </row>
    <row r="193" spans="1:12" s="6" customFormat="1" hidden="1" x14ac:dyDescent="0.25">
      <c r="A193" s="4"/>
      <c r="B193" s="3"/>
      <c r="C193" s="73"/>
      <c r="D193" s="33"/>
      <c r="E193" s="78"/>
      <c r="F193" s="24"/>
      <c r="G193" s="24"/>
      <c r="H193" s="19"/>
      <c r="I193" s="19"/>
      <c r="J193" s="49"/>
      <c r="K193" s="49"/>
      <c r="L193" s="2"/>
    </row>
    <row r="194" spans="1:12" hidden="1" x14ac:dyDescent="0.25">
      <c r="A194" s="2"/>
      <c r="B194" s="15"/>
      <c r="C194" s="73"/>
      <c r="D194" s="25"/>
      <c r="E194" s="78"/>
      <c r="F194" s="24"/>
      <c r="G194" s="24" t="str">
        <f t="shared" si="1"/>
        <v/>
      </c>
      <c r="H194" s="19"/>
      <c r="I194" s="19"/>
      <c r="J194" s="28"/>
      <c r="K194" s="28"/>
      <c r="L194" s="2"/>
    </row>
    <row r="195" spans="1:12" hidden="1" x14ac:dyDescent="0.25">
      <c r="A195" s="2"/>
      <c r="B195" s="15"/>
      <c r="C195" s="73"/>
      <c r="D195" s="25"/>
      <c r="E195" s="78"/>
      <c r="F195" s="24"/>
      <c r="G195" s="24" t="str">
        <f t="shared" si="1"/>
        <v/>
      </c>
      <c r="H195" s="19"/>
      <c r="I195" s="19"/>
      <c r="J195" s="28"/>
      <c r="K195" s="28"/>
      <c r="L195" s="2"/>
    </row>
    <row r="196" spans="1:12" hidden="1" x14ac:dyDescent="0.25">
      <c r="A196" s="2"/>
      <c r="B196" s="15"/>
      <c r="C196" s="73"/>
      <c r="D196" s="25"/>
      <c r="E196" s="78"/>
      <c r="F196" s="24"/>
      <c r="G196" s="24"/>
      <c r="H196" s="19"/>
      <c r="I196" s="19"/>
      <c r="J196" s="28"/>
      <c r="K196" s="28"/>
      <c r="L196" s="2"/>
    </row>
    <row r="197" spans="1:12" ht="41.4" hidden="1" x14ac:dyDescent="0.25">
      <c r="A197" s="10" t="s">
        <v>84</v>
      </c>
      <c r="B197" s="11" t="s">
        <v>10</v>
      </c>
      <c r="C197" s="89" t="s">
        <v>1</v>
      </c>
      <c r="D197" s="11" t="s">
        <v>11</v>
      </c>
      <c r="E197" s="10" t="s">
        <v>12</v>
      </c>
      <c r="F197" s="35" t="s">
        <v>13</v>
      </c>
      <c r="G197" s="35" t="s">
        <v>14</v>
      </c>
      <c r="H197" s="35" t="s">
        <v>15</v>
      </c>
      <c r="I197" s="18" t="s">
        <v>16</v>
      </c>
      <c r="J197" s="18" t="s">
        <v>17</v>
      </c>
      <c r="K197" s="18" t="s">
        <v>18</v>
      </c>
      <c r="L197" s="11" t="s">
        <v>19</v>
      </c>
    </row>
    <row r="198" spans="1:12" hidden="1" x14ac:dyDescent="0.25">
      <c r="A198" s="66" t="s">
        <v>22</v>
      </c>
      <c r="B198" s="11"/>
      <c r="C198" s="89"/>
      <c r="D198" s="11"/>
      <c r="E198" s="10"/>
      <c r="F198" s="35"/>
      <c r="G198" s="35"/>
      <c r="H198" s="35"/>
      <c r="I198" s="18"/>
      <c r="J198" s="18"/>
      <c r="K198" s="18"/>
      <c r="L198" s="11"/>
    </row>
    <row r="199" spans="1:12" hidden="1" x14ac:dyDescent="0.25">
      <c r="A199" s="66" t="s">
        <v>25</v>
      </c>
      <c r="B199" s="11"/>
      <c r="C199" s="89"/>
      <c r="D199" s="11"/>
      <c r="E199" s="10"/>
      <c r="F199" s="35"/>
      <c r="G199" s="35"/>
      <c r="H199" s="35"/>
      <c r="I199" s="18"/>
      <c r="J199" s="18"/>
      <c r="K199" s="18"/>
      <c r="L199" s="11"/>
    </row>
    <row r="200" spans="1:12" hidden="1" x14ac:dyDescent="0.25">
      <c r="A200" s="46" t="s">
        <v>26</v>
      </c>
      <c r="B200" s="15"/>
      <c r="C200" s="73"/>
      <c r="D200" s="34"/>
      <c r="E200" s="78"/>
      <c r="F200" s="24"/>
      <c r="G200" s="24" t="str">
        <f t="shared" ref="G200:G221" si="2">IF($F200="","",IF($F200="Gemessen","sehr gut",IF($F200="Berechnet","gut",IF($F200="Literaturwert","befriedigend",IF($F200="Geschätzt","schlecht",IF($F200="Keine Angabe","nicht erhoben",IF($F200="Datenbank (Gabi) | NUR UMSICHT","GaBi",IF($F200="Datenbank (ecoinvent) | NUR UMSICHT","ecoinvent"))))))))</f>
        <v/>
      </c>
      <c r="H200" s="19"/>
      <c r="I200" s="19"/>
      <c r="J200" s="28"/>
      <c r="K200" s="28"/>
      <c r="L200" s="2"/>
    </row>
    <row r="201" spans="1:12" hidden="1" x14ac:dyDescent="0.25">
      <c r="A201" s="4" t="s">
        <v>80</v>
      </c>
      <c r="B201" s="4" t="s">
        <v>39</v>
      </c>
      <c r="C201" s="73"/>
      <c r="D201" s="34"/>
      <c r="E201" s="78"/>
      <c r="F201" s="24"/>
      <c r="G201" s="24"/>
      <c r="H201" s="19"/>
      <c r="I201" s="19"/>
      <c r="J201" s="28"/>
      <c r="K201" s="28"/>
      <c r="L201" s="2"/>
    </row>
    <row r="202" spans="1:12" hidden="1" x14ac:dyDescent="0.25">
      <c r="A202" s="75" t="s">
        <v>85</v>
      </c>
      <c r="B202" s="4" t="s">
        <v>28</v>
      </c>
      <c r="C202" s="73"/>
      <c r="D202" s="34"/>
      <c r="E202" s="78"/>
      <c r="F202" s="24"/>
      <c r="G202" s="24"/>
      <c r="H202" s="19"/>
      <c r="I202" s="19"/>
      <c r="J202" s="28"/>
      <c r="K202" s="28"/>
      <c r="L202" s="2"/>
    </row>
    <row r="203" spans="1:12" hidden="1" x14ac:dyDescent="0.25">
      <c r="A203" s="4" t="s">
        <v>86</v>
      </c>
      <c r="B203" s="4" t="s">
        <v>28</v>
      </c>
      <c r="C203" s="73"/>
      <c r="D203" s="34"/>
      <c r="E203" s="78"/>
      <c r="F203" s="24"/>
      <c r="G203" s="24"/>
      <c r="H203" s="19"/>
      <c r="I203" s="19"/>
      <c r="J203" s="28"/>
      <c r="K203" s="28"/>
      <c r="L203" s="2"/>
    </row>
    <row r="204" spans="1:12" hidden="1" x14ac:dyDescent="0.25">
      <c r="A204" s="4" t="s">
        <v>87</v>
      </c>
      <c r="B204" s="4" t="s">
        <v>28</v>
      </c>
      <c r="C204" s="73"/>
      <c r="D204" s="34"/>
      <c r="E204" s="78"/>
      <c r="F204" s="24"/>
      <c r="G204" s="24"/>
      <c r="H204" s="19"/>
      <c r="I204" s="19"/>
      <c r="J204" s="28"/>
      <c r="K204" s="28"/>
      <c r="L204" s="2"/>
    </row>
    <row r="205" spans="1:12" hidden="1" x14ac:dyDescent="0.25">
      <c r="A205" s="75" t="s">
        <v>88</v>
      </c>
      <c r="B205" s="4" t="s">
        <v>28</v>
      </c>
      <c r="C205" s="73"/>
      <c r="D205" s="34"/>
      <c r="E205" s="78"/>
      <c r="F205" s="24"/>
      <c r="G205" s="24"/>
      <c r="H205" s="19"/>
      <c r="I205" s="19"/>
      <c r="J205" s="28"/>
      <c r="K205" s="28"/>
      <c r="L205" s="2"/>
    </row>
    <row r="206" spans="1:12" hidden="1" x14ac:dyDescent="0.25">
      <c r="A206" s="4" t="s">
        <v>89</v>
      </c>
      <c r="B206" s="4" t="s">
        <v>28</v>
      </c>
      <c r="C206" s="73"/>
      <c r="D206" s="34"/>
      <c r="E206" s="78"/>
      <c r="F206" s="24"/>
      <c r="G206" s="24"/>
      <c r="H206" s="19"/>
      <c r="I206" s="19"/>
      <c r="J206" s="28"/>
      <c r="K206" s="28"/>
      <c r="L206" s="2"/>
    </row>
    <row r="207" spans="1:12" hidden="1" x14ac:dyDescent="0.25">
      <c r="A207" s="4" t="s">
        <v>90</v>
      </c>
      <c r="B207" s="4" t="s">
        <v>28</v>
      </c>
      <c r="C207" s="73"/>
      <c r="D207" s="34"/>
      <c r="E207" s="78"/>
      <c r="F207" s="24"/>
      <c r="G207" s="24"/>
      <c r="H207" s="19"/>
      <c r="I207" s="19"/>
      <c r="J207" s="28"/>
      <c r="K207" s="28"/>
      <c r="L207" s="2"/>
    </row>
    <row r="208" spans="1:12" hidden="1" x14ac:dyDescent="0.25">
      <c r="A208" s="4" t="s">
        <v>91</v>
      </c>
      <c r="B208" s="4" t="s">
        <v>33</v>
      </c>
      <c r="C208" s="73"/>
      <c r="D208" s="34"/>
      <c r="E208" s="78"/>
      <c r="F208" s="24"/>
      <c r="G208" s="24"/>
      <c r="H208" s="19"/>
      <c r="I208" s="19"/>
      <c r="J208" s="28"/>
      <c r="K208" s="28"/>
      <c r="L208" s="2"/>
    </row>
    <row r="209" spans="1:12" hidden="1" x14ac:dyDescent="0.25">
      <c r="A209" s="2" t="s">
        <v>92</v>
      </c>
      <c r="B209" s="4" t="s">
        <v>33</v>
      </c>
      <c r="C209" s="73"/>
      <c r="D209" s="34"/>
      <c r="E209" s="78"/>
      <c r="F209" s="24"/>
      <c r="G209" s="24"/>
      <c r="H209" s="19"/>
      <c r="I209" s="19"/>
      <c r="J209" s="28"/>
      <c r="K209" s="28"/>
      <c r="L209" s="2"/>
    </row>
    <row r="210" spans="1:12" hidden="1" x14ac:dyDescent="0.25">
      <c r="A210" s="70"/>
      <c r="B210" s="4"/>
      <c r="C210" s="73"/>
      <c r="D210" s="25"/>
      <c r="E210" s="78"/>
      <c r="F210" s="24"/>
      <c r="G210" s="24"/>
      <c r="H210" s="19"/>
      <c r="I210" s="19"/>
      <c r="J210" s="14"/>
      <c r="K210" s="14"/>
      <c r="L210" s="2"/>
    </row>
    <row r="211" spans="1:12" s="6" customFormat="1" hidden="1" x14ac:dyDescent="0.25">
      <c r="A211" s="4"/>
      <c r="B211" s="3"/>
      <c r="C211" s="73"/>
      <c r="D211" s="33"/>
      <c r="E211" s="78"/>
      <c r="F211" s="24"/>
      <c r="G211" s="24"/>
      <c r="H211" s="19"/>
      <c r="I211" s="19"/>
      <c r="J211" s="49"/>
      <c r="K211" s="49"/>
      <c r="L211" s="2"/>
    </row>
    <row r="212" spans="1:12" s="6" customFormat="1" hidden="1" x14ac:dyDescent="0.25">
      <c r="A212" s="4"/>
      <c r="B212" s="3"/>
      <c r="C212" s="73"/>
      <c r="D212" s="33"/>
      <c r="E212" s="78"/>
      <c r="F212" s="24"/>
      <c r="G212" s="24"/>
      <c r="H212" s="19"/>
      <c r="I212" s="19"/>
      <c r="J212" s="49"/>
      <c r="K212" s="49"/>
      <c r="L212" s="2"/>
    </row>
    <row r="213" spans="1:12" s="6" customFormat="1" hidden="1" x14ac:dyDescent="0.25">
      <c r="A213" s="4"/>
      <c r="B213" s="3"/>
      <c r="C213" s="73"/>
      <c r="D213" s="33"/>
      <c r="E213" s="78"/>
      <c r="F213" s="24"/>
      <c r="G213" s="24"/>
      <c r="H213" s="19"/>
      <c r="I213" s="19"/>
      <c r="J213" s="49"/>
      <c r="K213" s="49"/>
      <c r="L213" s="2"/>
    </row>
    <row r="214" spans="1:12" s="6" customFormat="1" hidden="1" x14ac:dyDescent="0.25">
      <c r="A214" s="4"/>
      <c r="B214" s="3"/>
      <c r="C214" s="73"/>
      <c r="D214" s="33"/>
      <c r="E214" s="78"/>
      <c r="F214" s="24"/>
      <c r="G214" s="24"/>
      <c r="H214" s="19"/>
      <c r="I214" s="19"/>
      <c r="J214" s="49"/>
      <c r="K214" s="49"/>
      <c r="L214" s="2"/>
    </row>
    <row r="215" spans="1:12" s="6" customFormat="1" hidden="1" x14ac:dyDescent="0.25">
      <c r="A215" s="4"/>
      <c r="B215" s="3"/>
      <c r="C215" s="73"/>
      <c r="D215" s="33"/>
      <c r="E215" s="78"/>
      <c r="F215" s="24"/>
      <c r="G215" s="24"/>
      <c r="H215" s="19"/>
      <c r="I215" s="19"/>
      <c r="J215" s="49"/>
      <c r="K215" s="49"/>
      <c r="L215" s="2"/>
    </row>
    <row r="216" spans="1:12" s="6" customFormat="1" hidden="1" x14ac:dyDescent="0.25">
      <c r="A216" s="4"/>
      <c r="B216" s="3"/>
      <c r="C216" s="73"/>
      <c r="D216" s="33"/>
      <c r="E216" s="78"/>
      <c r="F216" s="24"/>
      <c r="G216" s="24"/>
      <c r="H216" s="19"/>
      <c r="I216" s="19"/>
      <c r="J216" s="49"/>
      <c r="K216" s="49"/>
      <c r="L216" s="2"/>
    </row>
    <row r="217" spans="1:12" s="6" customFormat="1" hidden="1" x14ac:dyDescent="0.25">
      <c r="A217" s="4"/>
      <c r="B217" s="3"/>
      <c r="C217" s="73"/>
      <c r="D217" s="33"/>
      <c r="E217" s="78"/>
      <c r="F217" s="24"/>
      <c r="G217" s="24"/>
      <c r="H217" s="19"/>
      <c r="I217" s="19"/>
      <c r="J217" s="49"/>
      <c r="K217" s="49"/>
      <c r="L217" s="2"/>
    </row>
    <row r="218" spans="1:12" hidden="1" x14ac:dyDescent="0.25">
      <c r="A218" s="2"/>
      <c r="B218" s="15"/>
      <c r="C218" s="73"/>
      <c r="D218" s="25"/>
      <c r="E218" s="78"/>
      <c r="F218" s="24"/>
      <c r="G218" s="24" t="str">
        <f t="shared" ref="G218" si="3">IF($F218="","",IF($F218="Gemessen","sehr gut",IF($F218="Berechnet","gut",IF($F218="Literaturwert","befriedigend",IF($F218="Geschätzt","schlecht",IF($F218="Keine Angabe","nicht erhoben",IF($F218="Datenbank (Gabi) | NUR UMSICHT","GaBi",IF($F218="Datenbank (ecoinvent) | NUR UMSICHT","ecoinvent"))))))))</f>
        <v/>
      </c>
      <c r="H218" s="19"/>
      <c r="I218" s="19"/>
      <c r="J218" s="28"/>
      <c r="K218" s="28"/>
      <c r="L218" s="2"/>
    </row>
    <row r="219" spans="1:12" hidden="1" x14ac:dyDescent="0.25">
      <c r="A219" s="2"/>
      <c r="B219" s="4"/>
      <c r="C219" s="73"/>
      <c r="D219" s="34"/>
      <c r="E219" s="78"/>
      <c r="F219" s="24"/>
      <c r="G219" s="24"/>
      <c r="H219" s="19"/>
      <c r="I219" s="19"/>
      <c r="J219" s="28"/>
      <c r="K219" s="28"/>
      <c r="L219" s="2"/>
    </row>
    <row r="220" spans="1:12" hidden="1" x14ac:dyDescent="0.25">
      <c r="A220" s="71" t="s">
        <v>35</v>
      </c>
      <c r="B220" s="4"/>
      <c r="C220" s="73"/>
      <c r="D220" s="25"/>
      <c r="E220" s="78"/>
      <c r="F220" s="24"/>
      <c r="G220" s="24"/>
      <c r="H220" s="19"/>
      <c r="I220" s="19"/>
      <c r="J220" s="28"/>
      <c r="K220" s="28"/>
      <c r="L220" s="2"/>
    </row>
    <row r="221" spans="1:12" hidden="1" x14ac:dyDescent="0.25">
      <c r="A221" s="2" t="s">
        <v>93</v>
      </c>
      <c r="B221" s="4" t="s">
        <v>37</v>
      </c>
      <c r="C221" s="73"/>
      <c r="D221" s="25"/>
      <c r="E221" s="78"/>
      <c r="F221" s="24"/>
      <c r="G221" s="24" t="str">
        <f t="shared" si="2"/>
        <v/>
      </c>
      <c r="H221" s="19"/>
      <c r="I221" s="19"/>
      <c r="J221" s="28"/>
      <c r="K221" s="28"/>
      <c r="L221" s="2"/>
    </row>
    <row r="222" spans="1:12" hidden="1" x14ac:dyDescent="0.25">
      <c r="A222" s="2" t="s">
        <v>94</v>
      </c>
      <c r="B222" s="4" t="s">
        <v>45</v>
      </c>
      <c r="C222" s="73"/>
      <c r="D222" s="25"/>
      <c r="E222" s="78"/>
      <c r="F222" s="24"/>
      <c r="G222" s="24"/>
      <c r="H222" s="19"/>
      <c r="I222" s="19"/>
      <c r="J222" s="28"/>
      <c r="K222" s="28"/>
      <c r="L222" s="2"/>
    </row>
    <row r="223" spans="1:12" hidden="1" x14ac:dyDescent="0.25">
      <c r="A223" s="2" t="s">
        <v>95</v>
      </c>
      <c r="B223" s="4" t="s">
        <v>45</v>
      </c>
      <c r="C223" s="73"/>
      <c r="D223" s="25"/>
      <c r="E223" s="78"/>
      <c r="F223" s="24"/>
      <c r="G223" s="24"/>
      <c r="H223" s="19"/>
      <c r="I223" s="19"/>
      <c r="J223" s="28"/>
      <c r="K223" s="28"/>
      <c r="L223" s="2"/>
    </row>
    <row r="224" spans="1:12" hidden="1" x14ac:dyDescent="0.25">
      <c r="A224" s="2" t="s">
        <v>96</v>
      </c>
      <c r="B224" s="3" t="s">
        <v>45</v>
      </c>
      <c r="C224" s="73"/>
      <c r="D224" s="25"/>
      <c r="E224" s="78"/>
      <c r="F224" s="24"/>
      <c r="G224" s="24"/>
      <c r="H224" s="19"/>
      <c r="I224" s="19"/>
      <c r="J224" s="28"/>
      <c r="K224" s="28"/>
      <c r="L224" s="2"/>
    </row>
    <row r="225" spans="1:12" hidden="1" x14ac:dyDescent="0.25">
      <c r="A225" s="2" t="s">
        <v>97</v>
      </c>
      <c r="B225" s="3" t="s">
        <v>45</v>
      </c>
      <c r="C225" s="73"/>
      <c r="D225" s="25"/>
      <c r="E225" s="78"/>
      <c r="F225" s="24"/>
      <c r="G225" s="24"/>
      <c r="H225" s="19"/>
      <c r="I225" s="19"/>
      <c r="J225" s="28"/>
      <c r="K225" s="28"/>
      <c r="L225" s="2"/>
    </row>
    <row r="226" spans="1:12" hidden="1" x14ac:dyDescent="0.25">
      <c r="A226" s="2" t="s">
        <v>98</v>
      </c>
      <c r="B226" s="3" t="s">
        <v>45</v>
      </c>
      <c r="C226" s="73"/>
      <c r="D226" s="25"/>
      <c r="E226" s="78"/>
      <c r="F226" s="24"/>
      <c r="G226" s="24"/>
      <c r="H226" s="19"/>
      <c r="I226" s="19"/>
      <c r="J226" s="28"/>
      <c r="K226" s="28"/>
      <c r="L226" s="2"/>
    </row>
    <row r="227" spans="1:12" hidden="1" x14ac:dyDescent="0.25">
      <c r="A227" s="2" t="s">
        <v>99</v>
      </c>
      <c r="B227" s="3" t="s">
        <v>45</v>
      </c>
      <c r="C227" s="73"/>
      <c r="D227" s="25"/>
      <c r="E227" s="78"/>
      <c r="F227" s="24"/>
      <c r="G227" s="24"/>
      <c r="H227" s="19"/>
      <c r="I227" s="19"/>
      <c r="J227" s="28"/>
      <c r="K227" s="28"/>
      <c r="L227" s="2"/>
    </row>
    <row r="228" spans="1:12" hidden="1" x14ac:dyDescent="0.25">
      <c r="A228" s="2" t="s">
        <v>100</v>
      </c>
      <c r="B228" s="3" t="s">
        <v>45</v>
      </c>
      <c r="C228" s="73"/>
      <c r="D228" s="25"/>
      <c r="E228" s="78"/>
      <c r="F228" s="24"/>
      <c r="G228" s="24"/>
      <c r="H228" s="19"/>
      <c r="I228" s="19"/>
      <c r="J228" s="28"/>
      <c r="K228" s="28"/>
      <c r="L228" s="2"/>
    </row>
    <row r="229" spans="1:12" hidden="1" x14ac:dyDescent="0.25">
      <c r="A229" s="2" t="s">
        <v>101</v>
      </c>
      <c r="B229" s="3" t="s">
        <v>45</v>
      </c>
      <c r="C229" s="73"/>
      <c r="D229" s="25"/>
      <c r="E229" s="78"/>
      <c r="F229" s="24"/>
      <c r="G229" s="24"/>
      <c r="H229" s="19"/>
      <c r="I229" s="19"/>
      <c r="J229" s="28"/>
      <c r="K229" s="28"/>
      <c r="L229" s="2"/>
    </row>
    <row r="230" spans="1:12" hidden="1" x14ac:dyDescent="0.25">
      <c r="A230" s="70"/>
      <c r="B230" s="4"/>
      <c r="C230" s="73"/>
      <c r="D230" s="25"/>
      <c r="E230" s="78"/>
      <c r="F230" s="24"/>
      <c r="G230" s="24"/>
      <c r="H230" s="19"/>
      <c r="I230" s="19"/>
      <c r="J230" s="14"/>
      <c r="K230" s="14"/>
      <c r="L230" s="2"/>
    </row>
    <row r="231" spans="1:12" s="6" customFormat="1" hidden="1" x14ac:dyDescent="0.25">
      <c r="A231" s="4"/>
      <c r="B231" s="3"/>
      <c r="C231" s="73"/>
      <c r="D231" s="33"/>
      <c r="E231" s="78"/>
      <c r="F231" s="24"/>
      <c r="G231" s="24"/>
      <c r="H231" s="19"/>
      <c r="I231" s="19"/>
      <c r="J231" s="49"/>
      <c r="K231" s="49"/>
      <c r="L231" s="2"/>
    </row>
    <row r="232" spans="1:12" s="6" customFormat="1" hidden="1" x14ac:dyDescent="0.25">
      <c r="A232" s="4"/>
      <c r="B232" s="3"/>
      <c r="C232" s="73"/>
      <c r="D232" s="33"/>
      <c r="E232" s="78"/>
      <c r="F232" s="24"/>
      <c r="G232" s="24"/>
      <c r="H232" s="19"/>
      <c r="I232" s="19"/>
      <c r="J232" s="49"/>
      <c r="K232" s="49"/>
      <c r="L232" s="2"/>
    </row>
    <row r="233" spans="1:12" s="6" customFormat="1" hidden="1" x14ac:dyDescent="0.25">
      <c r="A233" s="4"/>
      <c r="B233" s="3"/>
      <c r="C233" s="73"/>
      <c r="D233" s="33"/>
      <c r="E233" s="78"/>
      <c r="F233" s="24"/>
      <c r="G233" s="24"/>
      <c r="H233" s="19"/>
      <c r="I233" s="19"/>
      <c r="J233" s="49"/>
      <c r="K233" s="49"/>
      <c r="L233" s="2"/>
    </row>
    <row r="234" spans="1:12" s="6" customFormat="1" hidden="1" x14ac:dyDescent="0.25">
      <c r="A234" s="4"/>
      <c r="B234" s="3"/>
      <c r="C234" s="73"/>
      <c r="D234" s="33"/>
      <c r="E234" s="78"/>
      <c r="F234" s="24"/>
      <c r="G234" s="24"/>
      <c r="H234" s="19"/>
      <c r="I234" s="19"/>
      <c r="J234" s="49"/>
      <c r="K234" s="49"/>
      <c r="L234" s="2"/>
    </row>
    <row r="235" spans="1:12" s="6" customFormat="1" hidden="1" x14ac:dyDescent="0.25">
      <c r="A235" s="4"/>
      <c r="B235" s="3"/>
      <c r="C235" s="73"/>
      <c r="D235" s="33"/>
      <c r="E235" s="78"/>
      <c r="F235" s="24"/>
      <c r="G235" s="24"/>
      <c r="H235" s="19"/>
      <c r="I235" s="19"/>
      <c r="J235" s="49"/>
      <c r="K235" s="49"/>
      <c r="L235" s="2"/>
    </row>
    <row r="236" spans="1:12" s="6" customFormat="1" hidden="1" x14ac:dyDescent="0.25">
      <c r="A236" s="4"/>
      <c r="B236" s="3"/>
      <c r="C236" s="73"/>
      <c r="D236" s="33"/>
      <c r="E236" s="78"/>
      <c r="F236" s="24"/>
      <c r="G236" s="24"/>
      <c r="H236" s="19"/>
      <c r="I236" s="19"/>
      <c r="J236" s="49"/>
      <c r="K236" s="49"/>
      <c r="L236" s="2"/>
    </row>
    <row r="237" spans="1:12" s="6" customFormat="1" hidden="1" x14ac:dyDescent="0.25">
      <c r="A237" s="4"/>
      <c r="B237" s="3"/>
      <c r="C237" s="73"/>
      <c r="D237" s="33"/>
      <c r="E237" s="78"/>
      <c r="F237" s="24"/>
      <c r="G237" s="24"/>
      <c r="H237" s="19"/>
      <c r="I237" s="19"/>
      <c r="J237" s="49"/>
      <c r="K237" s="49"/>
      <c r="L237" s="2"/>
    </row>
    <row r="238" spans="1:12" hidden="1" x14ac:dyDescent="0.25">
      <c r="A238" s="2"/>
      <c r="B238" s="15"/>
      <c r="C238" s="73"/>
      <c r="D238" s="25"/>
      <c r="E238" s="78"/>
      <c r="F238" s="24"/>
      <c r="G238" s="24" t="str">
        <f t="shared" ref="G238" si="4">IF($F238="","",IF($F238="Gemessen","sehr gut",IF($F238="Berechnet","gut",IF($F238="Literaturwert","befriedigend",IF($F238="Geschätzt","schlecht",IF($F238="Keine Angabe","nicht erhoben",IF($F238="Datenbank (Gabi) | NUR UMSICHT","GaBi",IF($F238="Datenbank (ecoinvent) | NUR UMSICHT","ecoinvent"))))))))</f>
        <v/>
      </c>
      <c r="H238" s="19"/>
      <c r="I238" s="19"/>
      <c r="J238" s="28"/>
      <c r="K238" s="28"/>
      <c r="L238" s="2"/>
    </row>
    <row r="239" spans="1:12" hidden="1" x14ac:dyDescent="0.25">
      <c r="A239" s="2"/>
      <c r="B239" s="3"/>
      <c r="C239" s="73"/>
      <c r="D239" s="25"/>
      <c r="E239" s="78"/>
      <c r="F239" s="24"/>
      <c r="G239" s="24"/>
      <c r="H239" s="19"/>
      <c r="I239" s="19"/>
      <c r="J239" s="28"/>
      <c r="K239" s="28"/>
      <c r="L239" s="2"/>
    </row>
    <row r="240" spans="1:12" ht="41.4" hidden="1" x14ac:dyDescent="0.25">
      <c r="A240" s="10" t="s">
        <v>102</v>
      </c>
      <c r="B240" s="11" t="s">
        <v>10</v>
      </c>
      <c r="C240" s="89" t="s">
        <v>1</v>
      </c>
      <c r="D240" s="11" t="s">
        <v>11</v>
      </c>
      <c r="E240" s="10" t="s">
        <v>12</v>
      </c>
      <c r="F240" s="35" t="s">
        <v>13</v>
      </c>
      <c r="G240" s="35" t="s">
        <v>14</v>
      </c>
      <c r="H240" s="35" t="s">
        <v>15</v>
      </c>
      <c r="I240" s="18" t="s">
        <v>16</v>
      </c>
      <c r="J240" s="18" t="s">
        <v>17</v>
      </c>
      <c r="K240" s="18" t="s">
        <v>18</v>
      </c>
      <c r="L240" s="11" t="s">
        <v>19</v>
      </c>
    </row>
    <row r="241" spans="1:12" hidden="1" x14ac:dyDescent="0.25">
      <c r="A241" s="66" t="s">
        <v>22</v>
      </c>
      <c r="B241" s="11"/>
      <c r="C241" s="89"/>
      <c r="D241" s="11"/>
      <c r="E241" s="10"/>
      <c r="F241" s="35"/>
      <c r="G241" s="35"/>
      <c r="H241" s="35"/>
      <c r="I241" s="18"/>
      <c r="J241" s="18"/>
      <c r="K241" s="18"/>
      <c r="L241" s="11"/>
    </row>
    <row r="242" spans="1:12" hidden="1" x14ac:dyDescent="0.25">
      <c r="A242" s="66" t="s">
        <v>25</v>
      </c>
      <c r="B242" s="11"/>
      <c r="C242" s="89"/>
      <c r="D242" s="11"/>
      <c r="E242" s="10"/>
      <c r="F242" s="35"/>
      <c r="G242" s="35"/>
      <c r="H242" s="35"/>
      <c r="I242" s="18"/>
      <c r="J242" s="18"/>
      <c r="K242" s="18"/>
      <c r="L242" s="11"/>
    </row>
    <row r="243" spans="1:12" hidden="1" x14ac:dyDescent="0.25">
      <c r="A243" s="46" t="s">
        <v>26</v>
      </c>
      <c r="B243" s="15"/>
      <c r="C243" s="73"/>
      <c r="D243" s="34"/>
      <c r="E243" s="78"/>
      <c r="F243" s="24"/>
      <c r="G243" s="24" t="str">
        <f t="shared" ref="G243" si="5">IF($F243="","",IF($F243="Gemessen","sehr gut",IF($F243="Berechnet","gut",IF($F243="Literaturwert","befriedigend",IF($F243="Geschätzt","schlecht",IF($F243="Keine Angabe","nicht erhoben",IF($F243="Datenbank (Gabi) | NUR UMSICHT","GaBi",IF($F243="Datenbank (ecoinvent) | NUR UMSICHT","ecoinvent"))))))))</f>
        <v/>
      </c>
      <c r="H243" s="19"/>
      <c r="I243" s="19"/>
      <c r="J243" s="28"/>
      <c r="K243" s="28"/>
      <c r="L243" s="2"/>
    </row>
    <row r="244" spans="1:12" hidden="1" x14ac:dyDescent="0.25">
      <c r="A244" s="2" t="s">
        <v>47</v>
      </c>
      <c r="B244" s="4" t="s">
        <v>39</v>
      </c>
      <c r="C244" s="73"/>
      <c r="D244" s="34"/>
      <c r="E244" s="78"/>
      <c r="F244" s="24"/>
      <c r="G244" s="24"/>
      <c r="H244" s="19"/>
      <c r="I244" s="19"/>
      <c r="J244" s="28"/>
      <c r="K244" s="28"/>
      <c r="L244" s="2"/>
    </row>
    <row r="245" spans="1:12" hidden="1" x14ac:dyDescent="0.25">
      <c r="A245" s="4" t="s">
        <v>103</v>
      </c>
      <c r="B245" s="4" t="s">
        <v>39</v>
      </c>
      <c r="C245" s="73"/>
      <c r="D245" s="34"/>
      <c r="E245" s="78"/>
      <c r="F245" s="24"/>
      <c r="G245" s="24"/>
      <c r="H245" s="19"/>
      <c r="I245" s="19"/>
      <c r="J245" s="28"/>
      <c r="K245" s="28"/>
      <c r="L245" s="2"/>
    </row>
    <row r="246" spans="1:12" hidden="1" x14ac:dyDescent="0.25">
      <c r="A246" s="2" t="s">
        <v>104</v>
      </c>
      <c r="B246" s="4" t="s">
        <v>28</v>
      </c>
      <c r="C246" s="73"/>
      <c r="D246" s="34"/>
      <c r="E246" s="78"/>
      <c r="F246" s="24"/>
      <c r="G246" s="24"/>
      <c r="H246" s="19"/>
      <c r="I246" s="19"/>
      <c r="J246" s="28"/>
      <c r="K246" s="28"/>
      <c r="L246" s="2"/>
    </row>
    <row r="247" spans="1:12" hidden="1" x14ac:dyDescent="0.25">
      <c r="A247" s="2" t="s">
        <v>105</v>
      </c>
      <c r="B247" s="4" t="s">
        <v>28</v>
      </c>
      <c r="C247" s="73"/>
      <c r="D247" s="34"/>
      <c r="E247" s="78"/>
      <c r="F247" s="24"/>
      <c r="G247" s="24"/>
      <c r="H247" s="19"/>
      <c r="I247" s="19"/>
      <c r="J247" s="28"/>
      <c r="K247" s="28"/>
      <c r="L247" s="2"/>
    </row>
    <row r="248" spans="1:12" hidden="1" x14ac:dyDescent="0.25">
      <c r="A248" s="4" t="s">
        <v>42</v>
      </c>
      <c r="B248" s="4" t="s">
        <v>28</v>
      </c>
      <c r="C248" s="73"/>
      <c r="D248" s="34"/>
      <c r="E248" s="78"/>
      <c r="F248" s="24"/>
      <c r="G248" s="24"/>
      <c r="H248" s="19"/>
      <c r="I248" s="19"/>
      <c r="J248" s="28"/>
      <c r="K248" s="28"/>
      <c r="L248" s="2"/>
    </row>
    <row r="249" spans="1:12" hidden="1" x14ac:dyDescent="0.25">
      <c r="A249" s="2" t="s">
        <v>106</v>
      </c>
      <c r="B249" s="4" t="s">
        <v>33</v>
      </c>
      <c r="C249" s="73"/>
      <c r="D249" s="34"/>
      <c r="E249" s="78"/>
      <c r="F249" s="24"/>
      <c r="G249" s="24"/>
      <c r="H249" s="19"/>
      <c r="I249" s="19"/>
      <c r="J249" s="28"/>
      <c r="K249" s="28"/>
      <c r="L249" s="2"/>
    </row>
    <row r="250" spans="1:12" hidden="1" x14ac:dyDescent="0.25">
      <c r="A250" s="2" t="s">
        <v>107</v>
      </c>
      <c r="B250" s="4" t="s">
        <v>33</v>
      </c>
      <c r="C250" s="73"/>
      <c r="D250" s="34"/>
      <c r="E250" s="78"/>
      <c r="F250" s="24"/>
      <c r="G250" s="24"/>
      <c r="H250" s="19"/>
      <c r="I250" s="19"/>
      <c r="J250" s="28"/>
      <c r="K250" s="28"/>
      <c r="L250" s="2"/>
    </row>
    <row r="251" spans="1:12" hidden="1" x14ac:dyDescent="0.25">
      <c r="A251" s="70"/>
      <c r="B251" s="4"/>
      <c r="C251" s="73"/>
      <c r="D251" s="25"/>
      <c r="E251" s="78"/>
      <c r="F251" s="24"/>
      <c r="G251" s="24"/>
      <c r="H251" s="19"/>
      <c r="I251" s="19"/>
      <c r="J251" s="14"/>
      <c r="K251" s="14"/>
      <c r="L251" s="2"/>
    </row>
    <row r="252" spans="1:12" s="6" customFormat="1" hidden="1" x14ac:dyDescent="0.25">
      <c r="A252" s="4"/>
      <c r="B252" s="3"/>
      <c r="C252" s="73"/>
      <c r="D252" s="33"/>
      <c r="E252" s="78"/>
      <c r="F252" s="24"/>
      <c r="G252" s="24"/>
      <c r="H252" s="19"/>
      <c r="I252" s="73"/>
      <c r="J252" s="49"/>
      <c r="K252" s="49"/>
      <c r="L252" s="2"/>
    </row>
    <row r="253" spans="1:12" s="6" customFormat="1" hidden="1" x14ac:dyDescent="0.25">
      <c r="A253" s="4"/>
      <c r="B253" s="3"/>
      <c r="C253" s="73"/>
      <c r="D253" s="33"/>
      <c r="E253" s="78"/>
      <c r="F253" s="24"/>
      <c r="G253" s="24"/>
      <c r="H253" s="19"/>
      <c r="I253" s="73"/>
      <c r="J253" s="49"/>
      <c r="K253" s="49"/>
      <c r="L253" s="2"/>
    </row>
    <row r="254" spans="1:12" s="6" customFormat="1" hidden="1" x14ac:dyDescent="0.25">
      <c r="A254" s="4"/>
      <c r="B254" s="3"/>
      <c r="C254" s="73"/>
      <c r="D254" s="33"/>
      <c r="E254" s="78"/>
      <c r="F254" s="24"/>
      <c r="G254" s="24"/>
      <c r="H254" s="19"/>
      <c r="I254" s="73"/>
      <c r="J254" s="49"/>
      <c r="K254" s="49"/>
      <c r="L254" s="2"/>
    </row>
    <row r="255" spans="1:12" s="6" customFormat="1" hidden="1" x14ac:dyDescent="0.25">
      <c r="A255" s="4"/>
      <c r="B255" s="3"/>
      <c r="C255" s="73"/>
      <c r="D255" s="33"/>
      <c r="E255" s="78"/>
      <c r="F255" s="24"/>
      <c r="G255" s="24"/>
      <c r="H255" s="19"/>
      <c r="I255" s="73"/>
      <c r="J255" s="49"/>
      <c r="K255" s="49"/>
      <c r="L255" s="2"/>
    </row>
    <row r="256" spans="1:12" s="6" customFormat="1" hidden="1" x14ac:dyDescent="0.25">
      <c r="A256" s="4"/>
      <c r="B256" s="3"/>
      <c r="C256" s="73"/>
      <c r="D256" s="33"/>
      <c r="E256" s="78"/>
      <c r="F256" s="24"/>
      <c r="G256" s="24"/>
      <c r="H256" s="19"/>
      <c r="I256" s="73"/>
      <c r="J256" s="49"/>
      <c r="K256" s="49"/>
      <c r="L256" s="2"/>
    </row>
    <row r="257" spans="1:12" s="6" customFormat="1" hidden="1" x14ac:dyDescent="0.25">
      <c r="A257" s="4"/>
      <c r="B257" s="3"/>
      <c r="C257" s="73"/>
      <c r="D257" s="33"/>
      <c r="E257" s="78"/>
      <c r="F257" s="24"/>
      <c r="G257" s="24"/>
      <c r="H257" s="19"/>
      <c r="I257" s="73"/>
      <c r="J257" s="49"/>
      <c r="K257" s="49"/>
      <c r="L257" s="2"/>
    </row>
    <row r="258" spans="1:12" s="6" customFormat="1" hidden="1" x14ac:dyDescent="0.25">
      <c r="A258" s="4"/>
      <c r="B258" s="3"/>
      <c r="C258" s="73"/>
      <c r="D258" s="33"/>
      <c r="E258" s="78"/>
      <c r="F258" s="24"/>
      <c r="G258" s="24"/>
      <c r="H258" s="19"/>
      <c r="I258" s="73"/>
      <c r="J258" s="49"/>
      <c r="K258" s="49"/>
      <c r="L258" s="2"/>
    </row>
    <row r="259" spans="1:12" hidden="1" x14ac:dyDescent="0.25">
      <c r="A259" s="2"/>
      <c r="B259" s="15"/>
      <c r="C259" s="73"/>
      <c r="D259" s="25"/>
      <c r="E259" s="78"/>
      <c r="F259" s="24"/>
      <c r="G259" s="24" t="str">
        <f t="shared" ref="G259" si="6">IF($F259="","",IF($F259="Gemessen","sehr gut",IF($F259="Berechnet","gut",IF($F259="Literaturwert","befriedigend",IF($F259="Geschätzt","schlecht",IF($F259="Keine Angabe","nicht erhoben",IF($F259="Datenbank (Gabi) | NUR UMSICHT","GaBi",IF($F259="Datenbank (ecoinvent) | NUR UMSICHT","ecoinvent"))))))))</f>
        <v/>
      </c>
      <c r="H259" s="19"/>
      <c r="I259" s="73"/>
      <c r="J259" s="28"/>
      <c r="K259" s="28"/>
      <c r="L259" s="2"/>
    </row>
    <row r="260" spans="1:12" hidden="1" x14ac:dyDescent="0.25">
      <c r="A260" s="2"/>
      <c r="B260" s="3"/>
      <c r="C260" s="73"/>
      <c r="D260" s="25"/>
      <c r="E260" s="78"/>
      <c r="F260" s="24"/>
      <c r="G260" s="24"/>
      <c r="H260" s="19"/>
      <c r="I260" s="73"/>
      <c r="J260" s="28"/>
      <c r="K260" s="28"/>
      <c r="L260" s="2"/>
    </row>
    <row r="261" spans="1:12" hidden="1" x14ac:dyDescent="0.25">
      <c r="A261" s="71" t="s">
        <v>35</v>
      </c>
      <c r="B261" s="4"/>
      <c r="C261" s="73"/>
      <c r="D261" s="25"/>
      <c r="E261" s="83"/>
      <c r="F261" s="24"/>
      <c r="G261" s="19"/>
      <c r="H261" s="19"/>
      <c r="I261" s="74"/>
      <c r="J261" s="28"/>
      <c r="K261" s="2"/>
    </row>
    <row r="262" spans="1:12" hidden="1" x14ac:dyDescent="0.25">
      <c r="A262" s="2" t="s">
        <v>108</v>
      </c>
      <c r="B262" s="4" t="s">
        <v>37</v>
      </c>
      <c r="C262" s="73"/>
      <c r="D262" s="25"/>
      <c r="E262" s="83"/>
      <c r="F262" s="24"/>
      <c r="G262" s="19"/>
      <c r="H262" s="19"/>
      <c r="I262" s="74"/>
      <c r="J262" s="28"/>
      <c r="K262" s="2"/>
    </row>
    <row r="263" spans="1:12" hidden="1" x14ac:dyDescent="0.25">
      <c r="A263" s="2" t="s">
        <v>109</v>
      </c>
      <c r="B263" s="3" t="s">
        <v>45</v>
      </c>
      <c r="C263" s="73"/>
      <c r="D263" s="25"/>
      <c r="E263" s="83"/>
      <c r="F263" s="24"/>
      <c r="G263" s="23"/>
      <c r="H263" s="23"/>
      <c r="I263" s="74"/>
      <c r="J263" s="28"/>
      <c r="K263" s="2"/>
    </row>
    <row r="264" spans="1:12" hidden="1" x14ac:dyDescent="0.25">
      <c r="A264" s="2" t="s">
        <v>110</v>
      </c>
      <c r="B264" s="3" t="s">
        <v>45</v>
      </c>
      <c r="C264" s="73"/>
      <c r="D264" s="25"/>
      <c r="E264" s="83"/>
      <c r="F264" s="24"/>
      <c r="G264" s="23"/>
      <c r="H264" s="23"/>
      <c r="I264" s="74"/>
      <c r="J264" s="28"/>
      <c r="K264" s="2"/>
    </row>
    <row r="265" spans="1:12" hidden="1" x14ac:dyDescent="0.25">
      <c r="A265" s="2" t="s">
        <v>111</v>
      </c>
      <c r="B265" s="3" t="s">
        <v>45</v>
      </c>
      <c r="C265" s="73"/>
      <c r="D265" s="25"/>
      <c r="E265" s="83"/>
      <c r="F265" s="24"/>
      <c r="G265" s="23"/>
      <c r="H265" s="23"/>
      <c r="I265" s="74"/>
      <c r="J265" s="28"/>
      <c r="K265" s="2"/>
    </row>
    <row r="266" spans="1:12" hidden="1" x14ac:dyDescent="0.25">
      <c r="A266" s="70"/>
      <c r="B266" s="4"/>
      <c r="C266" s="73"/>
      <c r="D266" s="25"/>
      <c r="E266" s="78"/>
      <c r="F266" s="24"/>
      <c r="G266" s="24"/>
      <c r="H266" s="19"/>
      <c r="I266" s="73"/>
      <c r="J266" s="14"/>
      <c r="K266" s="14"/>
      <c r="L266" s="2"/>
    </row>
    <row r="267" spans="1:12" s="6" customFormat="1" hidden="1" x14ac:dyDescent="0.25">
      <c r="A267" s="4"/>
      <c r="B267" s="3"/>
      <c r="C267" s="73"/>
      <c r="D267" s="33"/>
      <c r="E267" s="78"/>
      <c r="F267" s="24"/>
      <c r="G267" s="24"/>
      <c r="H267" s="19"/>
      <c r="I267" s="73"/>
      <c r="J267" s="49"/>
      <c r="K267" s="49"/>
      <c r="L267" s="2"/>
    </row>
    <row r="268" spans="1:12" s="6" customFormat="1" hidden="1" x14ac:dyDescent="0.25">
      <c r="A268" s="4"/>
      <c r="B268" s="3"/>
      <c r="C268" s="73"/>
      <c r="D268" s="33"/>
      <c r="E268" s="78"/>
      <c r="F268" s="24"/>
      <c r="G268" s="24"/>
      <c r="H268" s="19"/>
      <c r="I268" s="73"/>
      <c r="J268" s="49"/>
      <c r="K268" s="49"/>
      <c r="L268" s="2"/>
    </row>
    <row r="269" spans="1:12" s="6" customFormat="1" hidden="1" x14ac:dyDescent="0.25">
      <c r="A269" s="4"/>
      <c r="B269" s="3"/>
      <c r="C269" s="73"/>
      <c r="D269" s="33"/>
      <c r="E269" s="78"/>
      <c r="F269" s="24"/>
      <c r="G269" s="24"/>
      <c r="H269" s="19"/>
      <c r="I269" s="73"/>
      <c r="J269" s="49"/>
      <c r="K269" s="49"/>
      <c r="L269" s="2"/>
    </row>
    <row r="270" spans="1:12" s="6" customFormat="1" hidden="1" x14ac:dyDescent="0.25">
      <c r="A270" s="4"/>
      <c r="B270" s="3"/>
      <c r="C270" s="73"/>
      <c r="D270" s="33"/>
      <c r="E270" s="78"/>
      <c r="F270" s="24"/>
      <c r="G270" s="24"/>
      <c r="H270" s="19"/>
      <c r="I270" s="19"/>
      <c r="J270" s="49"/>
      <c r="K270" s="49"/>
      <c r="L270" s="2"/>
    </row>
    <row r="271" spans="1:12" s="6" customFormat="1" hidden="1" x14ac:dyDescent="0.25">
      <c r="A271" s="4"/>
      <c r="B271" s="3"/>
      <c r="C271" s="73"/>
      <c r="D271" s="33"/>
      <c r="E271" s="78"/>
      <c r="F271" s="24"/>
      <c r="G271" s="24"/>
      <c r="H271" s="19"/>
      <c r="I271" s="19"/>
      <c r="J271" s="49"/>
      <c r="K271" s="49"/>
      <c r="L271" s="2"/>
    </row>
    <row r="272" spans="1:12" s="6" customFormat="1" hidden="1" x14ac:dyDescent="0.25">
      <c r="A272" s="4"/>
      <c r="B272" s="3"/>
      <c r="C272" s="73"/>
      <c r="D272" s="33"/>
      <c r="E272" s="78"/>
      <c r="F272" s="24"/>
      <c r="G272" s="24"/>
      <c r="H272" s="19"/>
      <c r="I272" s="19"/>
      <c r="J272" s="49"/>
      <c r="K272" s="49"/>
      <c r="L272" s="2"/>
    </row>
    <row r="273" spans="1:13" s="6" customFormat="1" hidden="1" x14ac:dyDescent="0.25">
      <c r="A273" s="4"/>
      <c r="B273" s="3"/>
      <c r="C273" s="73"/>
      <c r="D273" s="33"/>
      <c r="E273" s="78"/>
      <c r="F273" s="24"/>
      <c r="G273" s="24"/>
      <c r="H273" s="19"/>
      <c r="I273" s="19"/>
      <c r="J273" s="49"/>
      <c r="K273" s="49"/>
      <c r="L273" s="2"/>
    </row>
    <row r="274" spans="1:13" s="6" customFormat="1" hidden="1" x14ac:dyDescent="0.25">
      <c r="A274" s="4"/>
      <c r="B274" s="3"/>
      <c r="C274" s="73"/>
      <c r="D274" s="33"/>
      <c r="E274" s="78"/>
      <c r="F274" s="24"/>
      <c r="G274" s="24"/>
      <c r="H274" s="19"/>
      <c r="I274" s="19"/>
      <c r="J274" s="49"/>
      <c r="K274" s="49"/>
      <c r="L274" s="2"/>
    </row>
    <row r="275" spans="1:13" s="6" customFormat="1" hidden="1" x14ac:dyDescent="0.25">
      <c r="A275" s="7"/>
      <c r="B275" s="7"/>
      <c r="C275" s="91"/>
      <c r="D275" s="67"/>
      <c r="E275" s="84"/>
      <c r="F275" s="54"/>
      <c r="G275" s="54"/>
      <c r="H275" s="53"/>
      <c r="I275" s="53"/>
      <c r="L275" s="1"/>
    </row>
    <row r="276" spans="1:13" s="6" customFormat="1" hidden="1" x14ac:dyDescent="0.25">
      <c r="A276" s="7"/>
      <c r="B276" s="7"/>
      <c r="C276" s="91"/>
      <c r="D276" s="67"/>
      <c r="E276" s="84"/>
      <c r="F276" s="54"/>
      <c r="G276" s="54"/>
      <c r="H276" s="53"/>
      <c r="I276" s="53"/>
      <c r="L276" s="1"/>
    </row>
    <row r="277" spans="1:13" x14ac:dyDescent="0.25">
      <c r="B277" s="7"/>
      <c r="C277" s="91"/>
      <c r="D277" s="52"/>
      <c r="E277" s="84"/>
      <c r="F277" s="54"/>
      <c r="G277" s="54" t="str">
        <f t="shared" ref="G277" si="7">IF($F277="","",IF($F277="Gemessen","sehr gut",IF($F277="Berechnet","gut",IF($F277="Literaturwert","befriedigend",IF($F277="Geschätzt","schlecht",IF($F277="Keine Angabe","nicht erhoben",IF($F277="Datenbank (Gabi) | NUR UMSICHT","GaBi",IF($F277="Datenbank (ecoinvent) | NUR UMSICHT","ecoinvent"))))))))</f>
        <v/>
      </c>
      <c r="H277" s="53"/>
      <c r="I277" s="53"/>
      <c r="J277" s="51"/>
      <c r="K277" s="51"/>
    </row>
    <row r="278" spans="1:13" ht="33.6" x14ac:dyDescent="0.25">
      <c r="A278" s="68" t="s">
        <v>112</v>
      </c>
      <c r="B278" s="69"/>
      <c r="C278" s="92"/>
      <c r="D278" s="69"/>
      <c r="E278" s="85"/>
      <c r="F278" s="36"/>
      <c r="G278" s="220" t="s">
        <v>8</v>
      </c>
      <c r="H278" s="220"/>
      <c r="I278" s="69"/>
      <c r="J278" s="69"/>
      <c r="K278" s="69"/>
      <c r="L278" s="69"/>
    </row>
    <row r="279" spans="1:13" ht="41.4" x14ac:dyDescent="0.25">
      <c r="A279" s="11" t="s">
        <v>9</v>
      </c>
      <c r="B279" s="11" t="s">
        <v>10</v>
      </c>
      <c r="C279" s="89" t="s">
        <v>1</v>
      </c>
      <c r="D279" s="11" t="s">
        <v>11</v>
      </c>
      <c r="E279" s="10" t="s">
        <v>12</v>
      </c>
      <c r="F279" s="35" t="s">
        <v>13</v>
      </c>
      <c r="G279" s="35" t="s">
        <v>14</v>
      </c>
      <c r="H279" s="35" t="s">
        <v>15</v>
      </c>
      <c r="I279" s="18" t="s">
        <v>16</v>
      </c>
      <c r="J279" s="18" t="s">
        <v>17</v>
      </c>
      <c r="K279" s="18" t="s">
        <v>18</v>
      </c>
      <c r="L279" s="11" t="s">
        <v>19</v>
      </c>
      <c r="M279" s="10" t="s">
        <v>113</v>
      </c>
    </row>
    <row r="280" spans="1:13" x14ac:dyDescent="0.25">
      <c r="A280" s="3" t="s">
        <v>20</v>
      </c>
      <c r="B280" s="15"/>
      <c r="C280" s="73" t="s">
        <v>114</v>
      </c>
      <c r="D280" s="25"/>
      <c r="E280" s="78"/>
      <c r="F280" s="24"/>
      <c r="G280" s="24" t="str">
        <f>IF($F280="","",IF($F280="Gemessen","sehr gut",IF($F280="Berechnet","gut",IF($F280="Literaturwert","befriedigend",IF($F280="Geschätzt","schlecht",IF($F280="Keine Angabe","nicht erhoben",IF($F280="Datenbank (Gabi) | NUR UMSICHT","GaBi",IF($F280="Datenbank (ecoinvent) | NUR UMSICHT","ecoinvent"))))))))</f>
        <v/>
      </c>
      <c r="H280" s="24"/>
      <c r="I280" s="24"/>
      <c r="J280" s="2"/>
      <c r="K280" s="2"/>
      <c r="L280" s="2"/>
      <c r="M280" s="147"/>
    </row>
    <row r="281" spans="1:13" ht="41.4" x14ac:dyDescent="0.25">
      <c r="A281" s="3" t="s">
        <v>21</v>
      </c>
      <c r="B281" s="15" t="s">
        <v>115</v>
      </c>
      <c r="C281" s="73" t="s">
        <v>116</v>
      </c>
      <c r="D281" s="25"/>
      <c r="E281" s="78" t="s">
        <v>117</v>
      </c>
      <c r="F281" s="24"/>
      <c r="G281" s="24"/>
      <c r="H281" s="24"/>
      <c r="I281" s="24"/>
      <c r="J281" s="2"/>
      <c r="K281" s="2"/>
      <c r="L281" s="2"/>
      <c r="M281" s="147"/>
    </row>
    <row r="282" spans="1:13" ht="27.6" x14ac:dyDescent="0.25">
      <c r="A282" s="3" t="s">
        <v>22</v>
      </c>
      <c r="B282" s="15"/>
      <c r="C282" s="73">
        <v>3</v>
      </c>
      <c r="D282" s="25"/>
      <c r="E282" s="78" t="s">
        <v>118</v>
      </c>
      <c r="F282" s="24"/>
      <c r="G282" s="24" t="str">
        <f>IF($F282="","",IF($F282="Gemessen","sehr gut",IF($F282="Berechnet","gut",IF($F282="Literaturwert","befriedigend",IF($F282="Geschätzt","schlecht",IF($F282="Keine Angabe","nicht erhoben",IF($F282="Datenbank (Gabi) | NUR UMSICHT","GaBi",IF($F282="Datenbank (ecoinvent) | NUR UMSICHT","ecoinvent"))))))))</f>
        <v/>
      </c>
      <c r="H282" s="24"/>
      <c r="I282" s="24"/>
      <c r="J282" s="2"/>
      <c r="K282" s="2"/>
      <c r="L282" s="2"/>
      <c r="M282" s="113"/>
    </row>
    <row r="283" spans="1:13" x14ac:dyDescent="0.25">
      <c r="A283" s="3" t="s">
        <v>23</v>
      </c>
      <c r="B283" s="15"/>
      <c r="C283" s="73"/>
      <c r="D283" s="25"/>
      <c r="E283" s="78"/>
      <c r="F283" s="24"/>
      <c r="G283" s="24"/>
      <c r="H283" s="24"/>
      <c r="I283" s="24"/>
      <c r="J283" s="2"/>
      <c r="K283" s="2"/>
      <c r="L283" s="2"/>
      <c r="M283" s="113"/>
    </row>
    <row r="284" spans="1:13" ht="55.2" x14ac:dyDescent="0.25">
      <c r="A284" s="3" t="s">
        <v>119</v>
      </c>
      <c r="B284" s="15"/>
      <c r="C284" s="73" t="s">
        <v>120</v>
      </c>
      <c r="D284" s="25"/>
      <c r="E284" s="78" t="s">
        <v>121</v>
      </c>
      <c r="F284" s="24"/>
      <c r="G284" s="24"/>
      <c r="H284" s="24"/>
      <c r="I284" s="24"/>
      <c r="J284" s="2"/>
      <c r="K284" s="2"/>
      <c r="L284" s="2"/>
      <c r="M284" s="113"/>
    </row>
    <row r="285" spans="1:13" x14ac:dyDescent="0.25">
      <c r="A285" s="3" t="s">
        <v>122</v>
      </c>
      <c r="B285" s="15"/>
      <c r="C285" s="73"/>
      <c r="D285" s="25"/>
      <c r="E285" s="78" t="s">
        <v>123</v>
      </c>
      <c r="F285" s="24"/>
      <c r="G285" s="24"/>
      <c r="H285" s="24"/>
      <c r="I285" s="24"/>
      <c r="J285" s="2"/>
      <c r="K285" s="2"/>
      <c r="L285" s="2"/>
      <c r="M285" s="113"/>
    </row>
    <row r="286" spans="1:13" x14ac:dyDescent="0.25">
      <c r="A286" s="3"/>
      <c r="B286" s="15"/>
      <c r="C286" s="73"/>
      <c r="D286" s="25"/>
      <c r="E286" s="78"/>
      <c r="F286" s="24"/>
      <c r="G286" s="24"/>
      <c r="H286" s="24"/>
      <c r="I286" s="24"/>
      <c r="J286" s="2"/>
      <c r="K286" s="2"/>
      <c r="L286" s="2"/>
      <c r="M286" s="113"/>
    </row>
    <row r="287" spans="1:13" ht="80.099999999999994" customHeight="1" x14ac:dyDescent="0.25">
      <c r="A287" s="3" t="s">
        <v>124</v>
      </c>
      <c r="B287" s="15" t="s">
        <v>125</v>
      </c>
      <c r="C287" s="73">
        <f>(1314/9460800)*1251</f>
        <v>0.17374999999999999</v>
      </c>
      <c r="D287" s="221" t="s">
        <v>126</v>
      </c>
      <c r="E287" s="222"/>
      <c r="F287" s="222"/>
      <c r="G287" s="222"/>
      <c r="H287" s="222"/>
      <c r="I287" s="222"/>
      <c r="J287" s="222"/>
      <c r="K287" s="222"/>
      <c r="L287" s="222"/>
      <c r="M287" s="223"/>
    </row>
    <row r="288" spans="1:13" x14ac:dyDescent="0.25">
      <c r="A288" s="3"/>
      <c r="B288" s="15"/>
      <c r="C288" s="73"/>
      <c r="D288" s="25"/>
      <c r="E288" s="78"/>
      <c r="F288" s="24"/>
      <c r="G288" s="24"/>
      <c r="H288" s="24"/>
      <c r="I288" s="24"/>
      <c r="J288" s="2"/>
      <c r="K288" s="2"/>
      <c r="L288" s="2"/>
      <c r="M288" s="113"/>
    </row>
    <row r="289" spans="1:13" x14ac:dyDescent="0.25">
      <c r="A289" s="3"/>
      <c r="B289" s="15"/>
      <c r="C289" s="73"/>
      <c r="D289" s="25"/>
      <c r="E289" s="78"/>
      <c r="F289" s="24"/>
      <c r="G289" s="24"/>
      <c r="H289" s="24"/>
      <c r="I289" s="24"/>
      <c r="J289" s="2"/>
      <c r="K289" s="2"/>
      <c r="L289" s="2"/>
      <c r="M289" s="113"/>
    </row>
    <row r="290" spans="1:13" x14ac:dyDescent="0.25">
      <c r="A290" s="3"/>
      <c r="B290" s="15"/>
      <c r="C290" s="73"/>
      <c r="D290" s="25"/>
      <c r="E290" s="78"/>
      <c r="F290" s="24"/>
      <c r="G290" s="24"/>
      <c r="H290" s="24"/>
      <c r="I290" s="24"/>
      <c r="J290" s="2"/>
      <c r="K290" s="2"/>
      <c r="L290" s="2"/>
      <c r="M290" s="113"/>
    </row>
    <row r="291" spans="1:13" x14ac:dyDescent="0.25">
      <c r="A291" s="3"/>
      <c r="B291" s="15"/>
      <c r="C291" s="73"/>
      <c r="D291" s="25"/>
      <c r="E291" s="78"/>
      <c r="F291" s="24"/>
      <c r="G291" s="24"/>
      <c r="H291" s="24"/>
      <c r="I291" s="24"/>
      <c r="J291" s="2"/>
      <c r="K291" s="2"/>
      <c r="L291" s="2"/>
      <c r="M291" s="113"/>
    </row>
    <row r="292" spans="1:13" x14ac:dyDescent="0.25">
      <c r="A292" s="3"/>
      <c r="B292" s="15"/>
      <c r="C292" s="73"/>
      <c r="D292" s="25"/>
      <c r="E292" s="78"/>
      <c r="F292" s="24"/>
      <c r="G292" s="24"/>
      <c r="H292" s="24"/>
      <c r="I292" s="24"/>
      <c r="J292" s="2"/>
      <c r="K292" s="2"/>
      <c r="L292" s="2"/>
      <c r="M292" s="113"/>
    </row>
    <row r="293" spans="1:13" x14ac:dyDescent="0.25">
      <c r="A293" s="3"/>
      <c r="B293" s="15"/>
      <c r="C293" s="73"/>
      <c r="D293" s="25"/>
      <c r="E293" s="78"/>
      <c r="F293" s="24"/>
      <c r="G293" s="24"/>
      <c r="H293" s="24"/>
      <c r="I293" s="24"/>
      <c r="J293" s="2"/>
      <c r="K293" s="2"/>
      <c r="L293" s="2"/>
      <c r="M293" s="113"/>
    </row>
    <row r="294" spans="1:13" s="6" customFormat="1" x14ac:dyDescent="0.25">
      <c r="A294" s="3"/>
      <c r="B294" s="15"/>
      <c r="C294" s="73"/>
      <c r="D294" s="23"/>
      <c r="E294" s="79"/>
      <c r="F294" s="23"/>
      <c r="G294" s="23" t="str">
        <f>IF($F294="","",IF($F294="Gemessen","sehr gut",IF($F294="Berechnet","gut",IF($F294="Literaturwert","befriedigend",IF($F294="Geschätzt","schlecht",IF($F294="Keine Angabe","nicht erhoben",IF($F294="Datenbank (Gabi) | NUR UMSICHT","GaBi",IF($F294="Datenbank (ecoinvent) | NUR UMSICHT","ecoinvent"))))))))</f>
        <v/>
      </c>
      <c r="H294" s="23"/>
      <c r="I294" s="23"/>
      <c r="J294" s="2"/>
      <c r="K294" s="2"/>
      <c r="L294" s="2"/>
      <c r="M294" s="65"/>
    </row>
    <row r="295" spans="1:13" ht="41.4" x14ac:dyDescent="0.25">
      <c r="A295" s="10" t="s">
        <v>1010</v>
      </c>
      <c r="B295" s="11" t="s">
        <v>10</v>
      </c>
      <c r="C295" s="89" t="s">
        <v>1</v>
      </c>
      <c r="D295" s="11" t="s">
        <v>11</v>
      </c>
      <c r="E295" s="10" t="s">
        <v>12</v>
      </c>
      <c r="F295" s="35" t="s">
        <v>13</v>
      </c>
      <c r="G295" s="35" t="s">
        <v>14</v>
      </c>
      <c r="H295" s="35" t="s">
        <v>15</v>
      </c>
      <c r="I295" s="18" t="s">
        <v>16</v>
      </c>
      <c r="J295" s="18" t="s">
        <v>17</v>
      </c>
      <c r="K295" s="18" t="s">
        <v>18</v>
      </c>
      <c r="L295" s="11" t="s">
        <v>19</v>
      </c>
      <c r="M295" s="10" t="s">
        <v>113</v>
      </c>
    </row>
    <row r="296" spans="1:13" x14ac:dyDescent="0.25">
      <c r="A296" s="66" t="s">
        <v>22</v>
      </c>
      <c r="B296" s="11"/>
      <c r="C296" s="89"/>
      <c r="D296" s="11"/>
      <c r="E296" s="10"/>
      <c r="F296" s="35"/>
      <c r="G296" s="35"/>
      <c r="H296" s="35"/>
      <c r="I296" s="18"/>
      <c r="J296" s="18"/>
      <c r="K296" s="18"/>
      <c r="L296" s="11"/>
      <c r="M296" s="10"/>
    </row>
    <row r="297" spans="1:13" x14ac:dyDescent="0.25">
      <c r="A297" s="66" t="s">
        <v>25</v>
      </c>
      <c r="B297" s="11"/>
      <c r="C297" s="89"/>
      <c r="D297" s="11"/>
      <c r="E297" s="10"/>
      <c r="F297" s="35"/>
      <c r="G297" s="35"/>
      <c r="H297" s="35"/>
      <c r="I297" s="18"/>
      <c r="J297" s="18"/>
      <c r="K297" s="18"/>
      <c r="L297" s="11"/>
      <c r="M297" s="10"/>
    </row>
    <row r="298" spans="1:13" s="6" customFormat="1" x14ac:dyDescent="0.25">
      <c r="A298" s="4" t="s">
        <v>1009</v>
      </c>
      <c r="B298" s="3"/>
      <c r="C298" s="73"/>
      <c r="D298" s="33"/>
      <c r="E298" s="78"/>
      <c r="F298" s="24"/>
      <c r="G298" s="24"/>
      <c r="H298" s="19"/>
      <c r="I298" s="19"/>
      <c r="J298" s="49"/>
      <c r="K298" s="49"/>
      <c r="L298" s="2"/>
      <c r="M298" s="78"/>
    </row>
    <row r="299" spans="1:13" x14ac:dyDescent="0.25">
      <c r="A299" s="46"/>
      <c r="B299" s="2"/>
      <c r="C299" s="73"/>
      <c r="D299" s="25"/>
      <c r="E299" s="78"/>
      <c r="F299" s="24"/>
      <c r="G299" s="24" t="str">
        <f>IF($F299="","",IF($F299="Gemessen","sehr gut",IF($F299="Berechnet","gut",IF($F299="Literaturwert","befriedigend",IF($F299="Geschätzt","schlecht",IF($F299="Keine Angabe","nicht erhoben",IF($F299="Datenbank (Gabi) | NUR UMSICHT","GaBi",IF($F299="Datenbank (ecoinvent) | NUR UMSICHT","ecoinvent"))))))))</f>
        <v/>
      </c>
      <c r="H299" s="19"/>
      <c r="I299" s="19"/>
      <c r="J299" s="29"/>
      <c r="K299" s="29"/>
      <c r="L299" s="2"/>
      <c r="M299" s="78"/>
    </row>
    <row r="300" spans="1:13" ht="41.4" x14ac:dyDescent="0.25">
      <c r="A300" s="10" t="s">
        <v>127</v>
      </c>
      <c r="B300" s="11" t="s">
        <v>10</v>
      </c>
      <c r="C300" s="89" t="s">
        <v>1</v>
      </c>
      <c r="D300" s="11" t="s">
        <v>11</v>
      </c>
      <c r="E300" s="10" t="s">
        <v>12</v>
      </c>
      <c r="F300" s="35" t="s">
        <v>13</v>
      </c>
      <c r="G300" s="35" t="s">
        <v>14</v>
      </c>
      <c r="H300" s="35" t="s">
        <v>15</v>
      </c>
      <c r="I300" s="18" t="s">
        <v>16</v>
      </c>
      <c r="J300" s="18" t="s">
        <v>17</v>
      </c>
      <c r="K300" s="18" t="s">
        <v>18</v>
      </c>
      <c r="L300" s="11" t="s">
        <v>19</v>
      </c>
      <c r="M300" s="10" t="s">
        <v>113</v>
      </c>
    </row>
    <row r="301" spans="1:13" x14ac:dyDescent="0.25">
      <c r="A301" s="66" t="s">
        <v>22</v>
      </c>
      <c r="B301" s="87" t="s">
        <v>128</v>
      </c>
      <c r="C301" s="93">
        <v>1</v>
      </c>
      <c r="D301" s="87"/>
      <c r="E301" s="66" t="s">
        <v>129</v>
      </c>
      <c r="F301" s="35"/>
      <c r="G301" s="35"/>
      <c r="H301" s="35"/>
      <c r="I301" s="18"/>
      <c r="J301" s="18"/>
      <c r="K301" s="18"/>
      <c r="L301" s="11"/>
      <c r="M301" s="66"/>
    </row>
    <row r="302" spans="1:13" x14ac:dyDescent="0.25">
      <c r="A302" s="66" t="s">
        <v>25</v>
      </c>
      <c r="B302" s="87" t="s">
        <v>115</v>
      </c>
      <c r="C302" s="93">
        <v>45</v>
      </c>
      <c r="D302" s="87"/>
      <c r="E302" s="66"/>
      <c r="F302" s="35"/>
      <c r="G302" s="35"/>
      <c r="H302" s="35"/>
      <c r="I302" s="18"/>
      <c r="J302" s="18"/>
      <c r="K302" s="18"/>
      <c r="L302" s="11"/>
      <c r="M302" s="66"/>
    </row>
    <row r="303" spans="1:13" x14ac:dyDescent="0.25">
      <c r="A303" s="47" t="s">
        <v>26</v>
      </c>
      <c r="C303" s="73"/>
      <c r="D303" s="25"/>
      <c r="E303" s="78"/>
      <c r="F303" s="24"/>
      <c r="G303" s="24" t="str">
        <f>IF($F303="","",IF($F303="Gemessen","sehr gut",IF($F303="Berechnet","gut",IF($F303="Literaturwert","befriedigend",IF($F303="Geschätzt","schlecht",IF($F303="Keine Angabe","nicht erhoben",IF($F303="Datenbank (Gabi) | NUR UMSICHT","GaBi",IF($F303="Datenbank (ecoinvent) | NUR UMSICHT","ecoinvent"))))))))</f>
        <v/>
      </c>
      <c r="H303" s="19"/>
      <c r="I303" s="19"/>
      <c r="J303" s="29"/>
      <c r="K303" s="29"/>
      <c r="L303" s="2"/>
      <c r="M303" s="78"/>
    </row>
    <row r="304" spans="1:13" x14ac:dyDescent="0.25">
      <c r="A304" s="4" t="s">
        <v>36</v>
      </c>
      <c r="B304" s="4" t="s">
        <v>39</v>
      </c>
      <c r="C304" s="73">
        <v>1</v>
      </c>
      <c r="D304" s="25"/>
      <c r="E304" s="78"/>
      <c r="F304" s="25"/>
      <c r="G304" s="24" t="str">
        <f t="shared" ref="G304:G318" si="8">IF($F304="","",IF($F304="Gemessen","sehr gut",IF($F304="Berechnet","gut",IF($F304="Literaturwert","befriedigend",IF($F304="Geschätzt","schlecht",IF($F304="Keine Angabe","nicht erhoben",IF($F304="Datenbank (Gabi) | NUR UMSICHT","GaBi",IF($F304="Datenbank (ecoinvent) | NUR UMSICHT","ecoinvent"))))))))</f>
        <v/>
      </c>
      <c r="H304" s="19"/>
      <c r="I304" s="25"/>
      <c r="J304" s="55"/>
      <c r="K304" s="55"/>
      <c r="L304" s="2"/>
      <c r="M304" s="78"/>
    </row>
    <row r="305" spans="1:13" ht="43.2" x14ac:dyDescent="0.25">
      <c r="A305" s="4" t="s">
        <v>130</v>
      </c>
      <c r="B305" s="4" t="s">
        <v>131</v>
      </c>
      <c r="C305" s="23">
        <f>(20/26280000)*45</f>
        <v>3.4246575342465751E-5</v>
      </c>
      <c r="D305" s="146"/>
      <c r="E305" s="78" t="s">
        <v>132</v>
      </c>
      <c r="F305" s="25"/>
      <c r="G305" s="24"/>
      <c r="H305" s="19"/>
      <c r="I305" s="25"/>
      <c r="J305" s="55"/>
      <c r="K305" s="55"/>
      <c r="L305" s="2"/>
      <c r="M305" s="78" t="s">
        <v>133</v>
      </c>
    </row>
    <row r="306" spans="1:13" x14ac:dyDescent="0.25">
      <c r="A306" s="4" t="s">
        <v>134</v>
      </c>
      <c r="B306" s="4" t="s">
        <v>125</v>
      </c>
      <c r="C306" s="23">
        <f>($C$287/1251)*C302</f>
        <v>6.2500000000000003E-3</v>
      </c>
      <c r="D306" s="146"/>
      <c r="E306" s="78" t="s">
        <v>135</v>
      </c>
      <c r="F306" s="25"/>
      <c r="G306" s="24"/>
      <c r="H306" s="19"/>
      <c r="I306" s="25"/>
      <c r="J306" s="55"/>
      <c r="K306" s="55"/>
      <c r="L306" s="2"/>
      <c r="M306" s="78"/>
    </row>
    <row r="307" spans="1:13" ht="27.6" x14ac:dyDescent="0.25">
      <c r="A307" s="2" t="s">
        <v>136</v>
      </c>
      <c r="B307" s="4" t="s">
        <v>33</v>
      </c>
      <c r="C307" s="212">
        <f>Allokationen!E43</f>
        <v>4.494671240904351</v>
      </c>
      <c r="D307" s="25"/>
      <c r="E307" s="78" t="s">
        <v>137</v>
      </c>
      <c r="F307" s="24"/>
      <c r="G307" s="24"/>
      <c r="H307" s="19"/>
      <c r="I307" s="19"/>
      <c r="J307" s="14"/>
      <c r="K307" s="14"/>
      <c r="L307" s="2"/>
      <c r="M307" s="78"/>
    </row>
    <row r="308" spans="1:13" ht="27.6" x14ac:dyDescent="0.25">
      <c r="A308" s="70" t="s">
        <v>138</v>
      </c>
      <c r="B308" s="4" t="s">
        <v>33</v>
      </c>
      <c r="C308" s="212">
        <f>Allokationen!F43</f>
        <v>12.432069389735439</v>
      </c>
      <c r="D308" s="25"/>
      <c r="E308" s="78" t="s">
        <v>137</v>
      </c>
      <c r="F308" s="24"/>
      <c r="G308" s="24"/>
      <c r="H308" s="19"/>
      <c r="I308" s="19"/>
      <c r="J308" s="14"/>
      <c r="K308" s="14"/>
      <c r="L308" s="2"/>
      <c r="M308" s="78"/>
    </row>
    <row r="309" spans="1:13" ht="29.4" customHeight="1" x14ac:dyDescent="0.25">
      <c r="A309" s="70" t="s">
        <v>78</v>
      </c>
      <c r="B309" s="4" t="s">
        <v>33</v>
      </c>
      <c r="C309" s="73"/>
      <c r="D309" s="25"/>
      <c r="E309" s="78" t="s">
        <v>139</v>
      </c>
      <c r="F309" s="24"/>
      <c r="G309" s="24"/>
      <c r="H309" s="19"/>
      <c r="I309" s="19"/>
      <c r="J309" s="14"/>
      <c r="K309" s="14"/>
      <c r="L309" s="2"/>
      <c r="M309" s="78"/>
    </row>
    <row r="310" spans="1:13" s="6" customFormat="1" ht="82.8" x14ac:dyDescent="0.25">
      <c r="A310" s="4" t="s">
        <v>140</v>
      </c>
      <c r="B310" s="3" t="s">
        <v>141</v>
      </c>
      <c r="C310" s="73">
        <f>45/2100</f>
        <v>2.1428571428571429E-2</v>
      </c>
      <c r="D310" s="33"/>
      <c r="E310" s="78" t="s">
        <v>142</v>
      </c>
      <c r="F310" s="24"/>
      <c r="G310" s="24"/>
      <c r="H310" s="19"/>
      <c r="I310" s="19"/>
      <c r="J310" s="49"/>
      <c r="K310" s="49"/>
      <c r="L310" s="2"/>
      <c r="M310" s="78"/>
    </row>
    <row r="311" spans="1:13" ht="69" x14ac:dyDescent="0.25">
      <c r="A311" s="2" t="s">
        <v>143</v>
      </c>
      <c r="B311" s="15" t="s">
        <v>144</v>
      </c>
      <c r="C311" s="73">
        <v>1175</v>
      </c>
      <c r="D311" s="25"/>
      <c r="E311" s="78" t="s">
        <v>145</v>
      </c>
      <c r="F311" s="24"/>
      <c r="G311" s="24" t="str">
        <f t="shared" ref="G311" si="9">IF($F311="","",IF($F311="Gemessen","sehr gut",IF($F311="Berechnet","gut",IF($F311="Literaturwert","befriedigend",IF($F311="Geschätzt","schlecht",IF($F311="Keine Angabe","nicht erhoben",IF($F311="Datenbank (Gabi) | NUR UMSICHT","GaBi",IF($F311="Datenbank (ecoinvent) | NUR UMSICHT","ecoinvent"))))))))</f>
        <v/>
      </c>
      <c r="H311" s="19"/>
      <c r="I311" s="19"/>
      <c r="J311" s="28"/>
      <c r="K311" s="28"/>
      <c r="L311" s="2"/>
      <c r="M311" s="78"/>
    </row>
    <row r="312" spans="1:13" ht="42.75" customHeight="1" x14ac:dyDescent="0.25">
      <c r="A312" s="70" t="s">
        <v>146</v>
      </c>
      <c r="B312" s="15" t="s">
        <v>144</v>
      </c>
      <c r="C312" s="73">
        <v>20</v>
      </c>
      <c r="D312" s="25"/>
      <c r="E312" s="78" t="s">
        <v>147</v>
      </c>
      <c r="F312" s="24"/>
      <c r="G312" s="24"/>
      <c r="H312" s="19"/>
      <c r="I312" s="19"/>
      <c r="J312" s="28"/>
      <c r="K312" s="28"/>
      <c r="L312" s="2"/>
      <c r="M312" s="78" t="s">
        <v>148</v>
      </c>
    </row>
    <row r="313" spans="1:13" ht="138" x14ac:dyDescent="0.25">
      <c r="A313" s="70" t="s">
        <v>149</v>
      </c>
      <c r="B313" s="3" t="s">
        <v>144</v>
      </c>
      <c r="C313" s="73">
        <f>40*3.8*0.00886</f>
        <v>1.3467199999999999</v>
      </c>
      <c r="D313" s="25"/>
      <c r="E313" s="78" t="s">
        <v>150</v>
      </c>
      <c r="F313" s="24"/>
      <c r="G313" s="24"/>
      <c r="H313" s="19"/>
      <c r="I313" s="19"/>
      <c r="J313" s="28"/>
      <c r="K313" s="28"/>
      <c r="L313" s="2"/>
      <c r="M313" s="78"/>
    </row>
    <row r="314" spans="1:13" s="6" customFormat="1" ht="69" x14ac:dyDescent="0.25">
      <c r="A314" s="4" t="s">
        <v>151</v>
      </c>
      <c r="B314" s="3" t="s">
        <v>144</v>
      </c>
      <c r="C314" s="23">
        <f>2*(770*0.00526316)</f>
        <v>8.1052663999999996</v>
      </c>
      <c r="D314" s="33"/>
      <c r="E314" s="78" t="s">
        <v>152</v>
      </c>
      <c r="F314" s="24"/>
      <c r="G314" s="24"/>
      <c r="H314" s="19"/>
      <c r="I314" s="19"/>
      <c r="J314" s="49"/>
      <c r="K314" s="49"/>
      <c r="L314" s="2"/>
      <c r="M314" s="78" t="s">
        <v>153</v>
      </c>
    </row>
    <row r="315" spans="1:13" s="6" customFormat="1" x14ac:dyDescent="0.25">
      <c r="A315" s="4"/>
      <c r="B315" s="3"/>
      <c r="C315" s="23"/>
      <c r="D315" s="33"/>
      <c r="E315" s="78"/>
      <c r="F315" s="24"/>
      <c r="G315" s="24"/>
      <c r="H315" s="19"/>
      <c r="I315" s="19"/>
      <c r="J315" s="49"/>
      <c r="K315" s="49"/>
      <c r="L315" s="2"/>
      <c r="M315" s="78"/>
    </row>
    <row r="316" spans="1:13" x14ac:dyDescent="0.25">
      <c r="A316" s="46" t="s">
        <v>35</v>
      </c>
      <c r="B316" s="15"/>
      <c r="C316" s="73"/>
      <c r="D316" s="25"/>
      <c r="E316" s="78"/>
      <c r="F316" s="24"/>
      <c r="G316" s="24" t="str">
        <f t="shared" si="8"/>
        <v/>
      </c>
      <c r="H316" s="19"/>
      <c r="I316" s="19"/>
      <c r="J316" s="27"/>
      <c r="K316" s="27"/>
      <c r="L316" s="2"/>
      <c r="M316" s="78"/>
    </row>
    <row r="317" spans="1:13" x14ac:dyDescent="0.25">
      <c r="A317" s="4" t="s">
        <v>46</v>
      </c>
      <c r="B317" s="4" t="s">
        <v>154</v>
      </c>
      <c r="C317" s="23">
        <v>1</v>
      </c>
      <c r="D317" s="25"/>
      <c r="E317" s="78"/>
      <c r="F317" s="24"/>
      <c r="G317" s="24" t="str">
        <f t="shared" si="8"/>
        <v/>
      </c>
      <c r="H317" s="19"/>
      <c r="I317" s="19"/>
      <c r="J317" s="31"/>
      <c r="K317" s="31"/>
      <c r="L317" s="2"/>
      <c r="M317" s="78"/>
    </row>
    <row r="318" spans="1:13" x14ac:dyDescent="0.25">
      <c r="A318" s="2" t="s">
        <v>47</v>
      </c>
      <c r="B318" s="4" t="s">
        <v>37</v>
      </c>
      <c r="C318" s="73">
        <v>1</v>
      </c>
      <c r="D318" s="32"/>
      <c r="E318" s="78"/>
      <c r="F318" s="24"/>
      <c r="G318" s="24" t="str">
        <f t="shared" si="8"/>
        <v/>
      </c>
      <c r="H318" s="19"/>
      <c r="I318" s="19"/>
      <c r="J318" s="27"/>
      <c r="K318" s="27"/>
      <c r="L318" s="20"/>
      <c r="M318" s="78"/>
    </row>
    <row r="319" spans="1:13" ht="69" x14ac:dyDescent="0.25">
      <c r="A319" s="70" t="s">
        <v>155</v>
      </c>
      <c r="B319" s="4" t="s">
        <v>156</v>
      </c>
      <c r="C319" s="73">
        <f>C311</f>
        <v>1175</v>
      </c>
      <c r="D319" s="25"/>
      <c r="E319" s="78" t="s">
        <v>157</v>
      </c>
      <c r="F319" s="24"/>
      <c r="G319" s="24"/>
      <c r="H319" s="19"/>
      <c r="I319" s="19"/>
      <c r="J319" s="14"/>
      <c r="K319" s="14"/>
      <c r="L319" s="2"/>
      <c r="M319" s="78" t="s">
        <v>158</v>
      </c>
    </row>
    <row r="320" spans="1:13" ht="63" customHeight="1" x14ac:dyDescent="0.25">
      <c r="A320" s="70" t="s">
        <v>159</v>
      </c>
      <c r="B320" s="4" t="s">
        <v>156</v>
      </c>
      <c r="C320" s="73">
        <f>C312</f>
        <v>20</v>
      </c>
      <c r="D320" s="25"/>
      <c r="E320" s="78"/>
      <c r="F320" s="24"/>
      <c r="G320" s="24"/>
      <c r="H320" s="19"/>
      <c r="I320" s="19"/>
      <c r="J320" s="14"/>
      <c r="K320" s="14"/>
      <c r="L320" s="2"/>
      <c r="M320" s="78" t="s">
        <v>158</v>
      </c>
    </row>
    <row r="321" spans="1:13" ht="41.4" x14ac:dyDescent="0.25">
      <c r="A321" s="70" t="s">
        <v>160</v>
      </c>
      <c r="B321" s="4" t="s">
        <v>144</v>
      </c>
      <c r="C321" s="73">
        <f>C314</f>
        <v>8.1052663999999996</v>
      </c>
      <c r="D321" s="25"/>
      <c r="E321" s="78"/>
      <c r="F321" s="24"/>
      <c r="G321" s="24"/>
      <c r="H321" s="19"/>
      <c r="I321" s="19"/>
      <c r="J321" s="14"/>
      <c r="K321" s="14"/>
      <c r="L321" s="2"/>
      <c r="M321" s="78" t="s">
        <v>161</v>
      </c>
    </row>
    <row r="322" spans="1:13" ht="41.4" x14ac:dyDescent="0.25">
      <c r="A322" s="70" t="s">
        <v>162</v>
      </c>
      <c r="B322" s="4" t="s">
        <v>144</v>
      </c>
      <c r="C322" s="73">
        <f>C310*200</f>
        <v>4.2857142857142856</v>
      </c>
      <c r="D322" s="25"/>
      <c r="E322" s="78"/>
      <c r="F322" s="24"/>
      <c r="G322" s="24"/>
      <c r="H322" s="19"/>
      <c r="I322" s="19"/>
      <c r="J322" s="14"/>
      <c r="K322" s="14"/>
      <c r="L322" s="2"/>
      <c r="M322" s="78" t="s">
        <v>163</v>
      </c>
    </row>
    <row r="323" spans="1:13" x14ac:dyDescent="0.25">
      <c r="A323" s="70"/>
      <c r="B323" s="4"/>
      <c r="C323" s="73"/>
      <c r="D323" s="25"/>
      <c r="E323" s="78"/>
      <c r="F323" s="24"/>
      <c r="G323" s="24"/>
      <c r="H323" s="19"/>
      <c r="I323" s="19"/>
      <c r="J323" s="14"/>
      <c r="K323" s="14"/>
      <c r="L323" s="2"/>
      <c r="M323" s="78"/>
    </row>
    <row r="324" spans="1:13" s="6" customFormat="1" x14ac:dyDescent="0.25">
      <c r="A324" s="46" t="s">
        <v>164</v>
      </c>
      <c r="B324" s="3"/>
      <c r="C324" s="73"/>
      <c r="D324" s="33"/>
      <c r="E324" s="78"/>
      <c r="F324" s="24"/>
      <c r="G324" s="24"/>
      <c r="H324" s="19"/>
      <c r="I324" s="19"/>
      <c r="J324" s="49"/>
      <c r="K324" s="49"/>
      <c r="L324" s="2"/>
      <c r="M324" s="78"/>
    </row>
    <row r="325" spans="1:13" s="6" customFormat="1" x14ac:dyDescent="0.25">
      <c r="A325" s="70" t="s">
        <v>165</v>
      </c>
      <c r="B325" s="3"/>
      <c r="C325" s="73"/>
      <c r="D325" s="33"/>
      <c r="E325" s="78"/>
      <c r="F325" s="24"/>
      <c r="G325" s="24"/>
      <c r="H325" s="19"/>
      <c r="I325" s="19"/>
      <c r="J325" s="49"/>
      <c r="K325" s="49"/>
      <c r="L325" s="2"/>
      <c r="M325" s="78"/>
    </row>
    <row r="326" spans="1:13" s="6" customFormat="1" x14ac:dyDescent="0.25">
      <c r="A326" s="4" t="s">
        <v>166</v>
      </c>
      <c r="B326" s="3"/>
      <c r="C326" s="73"/>
      <c r="D326" s="33"/>
      <c r="E326" s="78" t="s">
        <v>167</v>
      </c>
      <c r="F326" s="24"/>
      <c r="G326" s="24"/>
      <c r="H326" s="19"/>
      <c r="I326" s="19"/>
      <c r="J326" s="49"/>
      <c r="K326" s="49"/>
      <c r="L326" s="2"/>
      <c r="M326" s="78"/>
    </row>
    <row r="327" spans="1:13" s="6" customFormat="1" x14ac:dyDescent="0.25">
      <c r="A327" s="4" t="s">
        <v>168</v>
      </c>
      <c r="B327" s="3"/>
      <c r="C327" s="73"/>
      <c r="D327" s="33"/>
      <c r="E327" s="78" t="s">
        <v>169</v>
      </c>
      <c r="F327" s="24"/>
      <c r="G327" s="24"/>
      <c r="H327" s="19"/>
      <c r="I327" s="19"/>
      <c r="J327" s="49"/>
      <c r="K327" s="49"/>
      <c r="L327" s="2"/>
      <c r="M327" s="78"/>
    </row>
    <row r="328" spans="1:13" s="6" customFormat="1" x14ac:dyDescent="0.25">
      <c r="A328" s="4" t="s">
        <v>170</v>
      </c>
      <c r="B328" s="3"/>
      <c r="C328" s="73"/>
      <c r="D328" s="33"/>
      <c r="E328" s="78"/>
      <c r="F328" s="24"/>
      <c r="G328" s="24"/>
      <c r="H328" s="19"/>
      <c r="I328" s="19"/>
      <c r="J328" s="49"/>
      <c r="K328" s="49"/>
      <c r="L328" s="2"/>
      <c r="M328" s="78"/>
    </row>
    <row r="329" spans="1:13" s="6" customFormat="1" x14ac:dyDescent="0.25">
      <c r="A329" s="4" t="s">
        <v>171</v>
      </c>
      <c r="B329" s="3"/>
      <c r="C329" s="73"/>
      <c r="D329" s="33"/>
      <c r="E329" s="78" t="s">
        <v>172</v>
      </c>
      <c r="F329" s="24"/>
      <c r="G329" s="24"/>
      <c r="H329" s="19"/>
      <c r="I329" s="19"/>
      <c r="J329" s="49"/>
      <c r="K329" s="49"/>
      <c r="L329" s="2"/>
      <c r="M329" s="78"/>
    </row>
    <row r="330" spans="1:13" s="6" customFormat="1" x14ac:dyDescent="0.25">
      <c r="A330" s="4" t="s">
        <v>173</v>
      </c>
      <c r="B330" s="3"/>
      <c r="C330" s="73"/>
      <c r="D330" s="33"/>
      <c r="E330" s="78" t="s">
        <v>172</v>
      </c>
      <c r="F330" s="24"/>
      <c r="G330" s="24"/>
      <c r="H330" s="19"/>
      <c r="I330" s="19"/>
      <c r="J330" s="49"/>
      <c r="K330" s="49"/>
      <c r="L330" s="2"/>
      <c r="M330" s="78"/>
    </row>
    <row r="331" spans="1:13" s="6" customFormat="1" x14ac:dyDescent="0.25">
      <c r="A331" s="4" t="s">
        <v>174</v>
      </c>
      <c r="B331" s="3"/>
      <c r="C331" s="73"/>
      <c r="D331" s="33"/>
      <c r="E331" s="78" t="s">
        <v>175</v>
      </c>
      <c r="F331" s="24"/>
      <c r="G331" s="24"/>
      <c r="H331" s="19"/>
      <c r="I331" s="19"/>
      <c r="J331" s="49"/>
      <c r="K331" s="49"/>
      <c r="L331" s="2"/>
      <c r="M331" s="78"/>
    </row>
    <row r="332" spans="1:13" s="6" customFormat="1" x14ac:dyDescent="0.25">
      <c r="A332" s="4"/>
      <c r="B332" s="3"/>
      <c r="C332" s="73"/>
      <c r="D332" s="33"/>
      <c r="E332" s="78"/>
      <c r="F332" s="24"/>
      <c r="G332" s="24"/>
      <c r="H332" s="19"/>
      <c r="I332" s="19"/>
      <c r="J332" s="49"/>
      <c r="K332" s="49"/>
      <c r="L332" s="2"/>
      <c r="M332" s="78"/>
    </row>
    <row r="333" spans="1:13" s="6" customFormat="1" x14ac:dyDescent="0.25">
      <c r="A333" s="4"/>
      <c r="B333" s="3"/>
      <c r="C333" s="73"/>
      <c r="D333" s="33"/>
      <c r="E333" s="78"/>
      <c r="F333" s="24"/>
      <c r="G333" s="24"/>
      <c r="H333" s="19"/>
      <c r="I333" s="19"/>
      <c r="J333" s="49"/>
      <c r="K333" s="49"/>
      <c r="L333" s="2"/>
      <c r="M333" s="78"/>
    </row>
    <row r="334" spans="1:13" ht="41.4" x14ac:dyDescent="0.25">
      <c r="A334" s="10" t="s">
        <v>176</v>
      </c>
      <c r="B334" s="11" t="s">
        <v>10</v>
      </c>
      <c r="C334" s="89" t="s">
        <v>1</v>
      </c>
      <c r="D334" s="11" t="s">
        <v>11</v>
      </c>
      <c r="E334" s="10" t="s">
        <v>12</v>
      </c>
      <c r="F334" s="35" t="s">
        <v>13</v>
      </c>
      <c r="G334" s="35" t="s">
        <v>14</v>
      </c>
      <c r="H334" s="35" t="s">
        <v>15</v>
      </c>
      <c r="I334" s="18" t="s">
        <v>16</v>
      </c>
      <c r="J334" s="18" t="s">
        <v>17</v>
      </c>
      <c r="K334" s="18" t="s">
        <v>18</v>
      </c>
      <c r="L334" s="11" t="s">
        <v>19</v>
      </c>
      <c r="M334" s="10" t="s">
        <v>113</v>
      </c>
    </row>
    <row r="335" spans="1:13" s="86" customFormat="1" ht="261.89999999999998" customHeight="1" x14ac:dyDescent="0.25">
      <c r="A335" s="66" t="s">
        <v>177</v>
      </c>
      <c r="B335" s="216" t="s">
        <v>178</v>
      </c>
      <c r="C335" s="217"/>
      <c r="D335" s="217"/>
      <c r="E335" s="218"/>
      <c r="F335" s="95"/>
      <c r="G335" s="95"/>
      <c r="H335" s="95"/>
      <c r="I335" s="96"/>
      <c r="J335" s="96"/>
      <c r="K335" s="96"/>
      <c r="L335" s="87"/>
      <c r="M335" s="10"/>
    </row>
    <row r="336" spans="1:13" s="86" customFormat="1" x14ac:dyDescent="0.25">
      <c r="A336" s="66" t="s">
        <v>22</v>
      </c>
      <c r="B336" s="87"/>
      <c r="C336" s="93">
        <v>1</v>
      </c>
      <c r="D336" s="87"/>
      <c r="E336" s="66"/>
      <c r="F336" s="95"/>
      <c r="G336" s="95"/>
      <c r="H336" s="95"/>
      <c r="I336" s="96"/>
      <c r="J336" s="96"/>
      <c r="K336" s="96"/>
      <c r="L336" s="87"/>
      <c r="M336" s="66"/>
    </row>
    <row r="337" spans="1:13" s="86" customFormat="1" ht="110.4" x14ac:dyDescent="0.25">
      <c r="A337" s="66" t="s">
        <v>25</v>
      </c>
      <c r="B337" s="87" t="s">
        <v>115</v>
      </c>
      <c r="C337" s="93" t="s">
        <v>179</v>
      </c>
      <c r="D337" s="87"/>
      <c r="E337" s="66" t="s">
        <v>180</v>
      </c>
      <c r="F337" s="95"/>
      <c r="G337" s="95"/>
      <c r="H337" s="95"/>
      <c r="I337" s="96"/>
      <c r="J337" s="96"/>
      <c r="K337" s="96"/>
      <c r="L337" s="87"/>
      <c r="M337" s="66"/>
    </row>
    <row r="338" spans="1:13" x14ac:dyDescent="0.25">
      <c r="A338" s="71" t="s">
        <v>26</v>
      </c>
      <c r="B338" s="15"/>
      <c r="C338" s="73"/>
      <c r="D338" s="25"/>
      <c r="E338" s="78"/>
      <c r="F338" s="24"/>
      <c r="G338" s="24" t="str">
        <f t="shared" ref="G338" si="10">IF($F338="","",IF($F338="Gemessen","sehr gut",IF($F338="Berechnet","gut",IF($F338="Literaturwert","befriedigend",IF($F338="Geschätzt","schlecht",IF($F338="Keine Angabe","nicht erhoben",IF($F338="Datenbank (Gabi) | NUR UMSICHT","GaBi",IF($F338="Datenbank (ecoinvent) | NUR UMSICHT","ecoinvent"))))))))</f>
        <v/>
      </c>
      <c r="H338" s="19"/>
      <c r="I338" s="19"/>
      <c r="J338" s="28"/>
      <c r="K338" s="28"/>
      <c r="L338" s="2"/>
      <c r="M338" s="78"/>
    </row>
    <row r="339" spans="1:13" x14ac:dyDescent="0.25">
      <c r="A339" s="4" t="s">
        <v>46</v>
      </c>
      <c r="B339" s="4" t="s">
        <v>39</v>
      </c>
      <c r="C339" s="73">
        <v>1</v>
      </c>
      <c r="D339" s="25"/>
      <c r="E339" s="78"/>
      <c r="F339" s="24"/>
      <c r="G339" s="24"/>
      <c r="H339" s="19"/>
      <c r="I339" s="19"/>
      <c r="J339" s="28"/>
      <c r="K339" s="28"/>
      <c r="L339" s="2"/>
      <c r="M339" s="78"/>
    </row>
    <row r="340" spans="1:13" ht="29.4" customHeight="1" x14ac:dyDescent="0.25">
      <c r="A340" s="4" t="s">
        <v>130</v>
      </c>
      <c r="B340" s="4" t="s">
        <v>131</v>
      </c>
      <c r="C340" s="23">
        <f>(4/26280000)*(180+840)</f>
        <v>1.5525114155251141E-4</v>
      </c>
      <c r="D340" s="143"/>
      <c r="E340" s="78" t="s">
        <v>181</v>
      </c>
      <c r="F340" s="25"/>
      <c r="G340" s="24"/>
      <c r="H340" s="19"/>
      <c r="I340" s="25"/>
      <c r="J340" s="55"/>
      <c r="K340" s="55"/>
      <c r="L340" s="2"/>
      <c r="M340" s="78" t="s">
        <v>133</v>
      </c>
    </row>
    <row r="341" spans="1:13" x14ac:dyDescent="0.25">
      <c r="A341" s="4" t="s">
        <v>134</v>
      </c>
      <c r="B341" s="4" t="s">
        <v>125</v>
      </c>
      <c r="C341" s="23">
        <f>($C$287/1251)*1020</f>
        <v>0.14166666666666666</v>
      </c>
      <c r="D341" s="146"/>
      <c r="E341" s="78" t="s">
        <v>135</v>
      </c>
      <c r="F341" s="25"/>
      <c r="G341" s="24"/>
      <c r="H341" s="19"/>
      <c r="I341" s="25"/>
      <c r="J341" s="55"/>
      <c r="K341" s="55"/>
      <c r="L341" s="2"/>
      <c r="M341" s="78"/>
    </row>
    <row r="342" spans="1:13" ht="27.6" x14ac:dyDescent="0.25">
      <c r="A342" s="4" t="s">
        <v>182</v>
      </c>
      <c r="B342" s="4" t="s">
        <v>33</v>
      </c>
      <c r="C342" s="121"/>
      <c r="D342" s="167">
        <v>0.56999999999999995</v>
      </c>
      <c r="E342" s="78" t="s">
        <v>183</v>
      </c>
      <c r="F342" s="24"/>
      <c r="G342" s="24"/>
      <c r="H342" s="19"/>
      <c r="I342" s="19"/>
      <c r="J342" s="28"/>
      <c r="K342" s="28"/>
      <c r="L342" s="2"/>
      <c r="M342" s="78"/>
    </row>
    <row r="343" spans="1:13" x14ac:dyDescent="0.25">
      <c r="A343" s="4" t="s">
        <v>184</v>
      </c>
      <c r="B343" s="4" t="s">
        <v>33</v>
      </c>
      <c r="C343" s="121"/>
      <c r="D343" s="167">
        <v>0.23</v>
      </c>
      <c r="E343" s="78" t="s">
        <v>185</v>
      </c>
      <c r="F343" s="24"/>
      <c r="G343" s="24"/>
      <c r="H343" s="19"/>
      <c r="I343" s="19"/>
      <c r="J343" s="28"/>
      <c r="K343" s="28"/>
      <c r="L343" s="2"/>
      <c r="M343" s="78"/>
    </row>
    <row r="344" spans="1:13" ht="27.6" x14ac:dyDescent="0.25">
      <c r="A344" s="4" t="s">
        <v>186</v>
      </c>
      <c r="B344" s="4" t="s">
        <v>33</v>
      </c>
      <c r="C344" s="165">
        <f>Allokationen!E44</f>
        <v>17.978684963617404</v>
      </c>
      <c r="D344" s="168"/>
      <c r="E344" s="78" t="s">
        <v>137</v>
      </c>
      <c r="F344" s="24"/>
      <c r="G344" s="24"/>
      <c r="H344" s="19"/>
      <c r="I344" s="19"/>
      <c r="J344" s="28"/>
      <c r="K344" s="28"/>
      <c r="L344" s="2"/>
      <c r="M344" s="78"/>
    </row>
    <row r="345" spans="1:13" ht="27.6" x14ac:dyDescent="0.25">
      <c r="A345" s="4" t="s">
        <v>138</v>
      </c>
      <c r="B345" s="4" t="s">
        <v>33</v>
      </c>
      <c r="C345" s="165">
        <f>Allokationen!F44</f>
        <v>49.728277558941755</v>
      </c>
      <c r="D345" s="168"/>
      <c r="E345" s="78" t="s">
        <v>137</v>
      </c>
      <c r="F345" s="24"/>
      <c r="G345" s="24"/>
      <c r="H345" s="19"/>
      <c r="I345" s="19"/>
      <c r="J345" s="28"/>
      <c r="K345" s="28"/>
      <c r="L345" s="2"/>
      <c r="M345" s="78"/>
    </row>
    <row r="346" spans="1:13" ht="220.8" x14ac:dyDescent="0.25">
      <c r="A346" s="4" t="s">
        <v>187</v>
      </c>
      <c r="B346" s="4" t="s">
        <v>188</v>
      </c>
      <c r="C346" s="73">
        <f>4*300+0.5*333</f>
        <v>1366.5</v>
      </c>
      <c r="D346" s="25"/>
      <c r="E346" s="78" t="s">
        <v>189</v>
      </c>
      <c r="F346" s="24"/>
      <c r="G346" s="24"/>
      <c r="H346" s="19"/>
      <c r="I346" s="19"/>
      <c r="J346" s="28"/>
      <c r="K346" s="28"/>
      <c r="L346" s="2"/>
      <c r="M346" s="78" t="s">
        <v>190</v>
      </c>
    </row>
    <row r="347" spans="1:13" ht="55.2" x14ac:dyDescent="0.25">
      <c r="A347" s="4" t="s">
        <v>191</v>
      </c>
      <c r="B347" s="4" t="s">
        <v>144</v>
      </c>
      <c r="C347" s="73">
        <f>0.1*10.074</f>
        <v>1.0074000000000001</v>
      </c>
      <c r="D347" s="34"/>
      <c r="E347" s="78" t="s">
        <v>192</v>
      </c>
      <c r="F347" s="24"/>
      <c r="G347" s="24"/>
      <c r="H347" s="19"/>
      <c r="I347" s="19"/>
      <c r="J347" s="28"/>
      <c r="K347" s="28"/>
      <c r="L347" s="2"/>
      <c r="M347" s="78"/>
    </row>
    <row r="348" spans="1:13" ht="96.6" x14ac:dyDescent="0.25">
      <c r="A348" s="4" t="s">
        <v>193</v>
      </c>
      <c r="B348" s="4" t="s">
        <v>144</v>
      </c>
      <c r="C348" s="73">
        <f>5*5.6</f>
        <v>28</v>
      </c>
      <c r="D348" s="34"/>
      <c r="E348" s="78" t="s">
        <v>194</v>
      </c>
      <c r="F348" s="24"/>
      <c r="G348" s="24"/>
      <c r="H348" s="19"/>
      <c r="I348" s="19"/>
      <c r="J348" s="28"/>
      <c r="K348" s="28"/>
      <c r="L348" s="2"/>
      <c r="M348" s="78"/>
    </row>
    <row r="349" spans="1:13" x14ac:dyDescent="0.25">
      <c r="A349" s="4" t="s">
        <v>195</v>
      </c>
      <c r="B349" s="4" t="s">
        <v>144</v>
      </c>
      <c r="C349" s="73">
        <f>11*5.6</f>
        <v>61.599999999999994</v>
      </c>
      <c r="D349" s="34"/>
      <c r="E349" s="142" t="s">
        <v>196</v>
      </c>
      <c r="F349" s="24"/>
      <c r="G349" s="24"/>
      <c r="H349" s="19"/>
      <c r="I349" s="19"/>
      <c r="J349" s="28"/>
      <c r="K349" s="28"/>
      <c r="L349" s="2"/>
      <c r="M349" s="78"/>
    </row>
    <row r="350" spans="1:13" ht="41.4" x14ac:dyDescent="0.25">
      <c r="A350" s="2" t="s">
        <v>197</v>
      </c>
      <c r="B350" s="4" t="s">
        <v>128</v>
      </c>
      <c r="C350" s="73">
        <v>2</v>
      </c>
      <c r="D350" s="25"/>
      <c r="E350" s="78" t="s">
        <v>198</v>
      </c>
      <c r="F350" s="24"/>
      <c r="G350" s="24"/>
      <c r="H350" s="19"/>
      <c r="I350" s="19"/>
      <c r="J350" s="28"/>
      <c r="K350" s="28"/>
      <c r="L350" s="2"/>
      <c r="M350" s="78"/>
    </row>
    <row r="351" spans="1:13" ht="69" x14ac:dyDescent="0.25">
      <c r="A351" s="70" t="s">
        <v>199</v>
      </c>
      <c r="B351" s="4" t="s">
        <v>144</v>
      </c>
      <c r="C351" s="73">
        <f>10*0.9</f>
        <v>9</v>
      </c>
      <c r="D351" s="25"/>
      <c r="E351" s="78" t="s">
        <v>200</v>
      </c>
      <c r="F351" s="24"/>
      <c r="G351" s="24"/>
      <c r="H351" s="19"/>
      <c r="I351" s="19"/>
      <c r="J351" s="14"/>
      <c r="K351" s="14"/>
      <c r="L351" s="2"/>
      <c r="M351" s="78" t="s">
        <v>201</v>
      </c>
    </row>
    <row r="352" spans="1:13" s="6" customFormat="1" ht="151.80000000000001" x14ac:dyDescent="0.25">
      <c r="A352" s="4" t="s">
        <v>202</v>
      </c>
      <c r="B352" s="3" t="s">
        <v>144</v>
      </c>
      <c r="C352" s="73">
        <f>0.1*28.57</f>
        <v>2.8570000000000002</v>
      </c>
      <c r="D352" s="33"/>
      <c r="E352" s="78" t="s">
        <v>203</v>
      </c>
      <c r="F352" s="24"/>
      <c r="G352" s="24"/>
      <c r="H352" s="19"/>
      <c r="I352" s="19"/>
      <c r="J352" s="49"/>
      <c r="K352" s="49"/>
      <c r="L352" s="2"/>
      <c r="M352" s="78" t="s">
        <v>204</v>
      </c>
    </row>
    <row r="353" spans="1:13" s="6" customFormat="1" x14ac:dyDescent="0.25">
      <c r="A353" s="4" t="s">
        <v>69</v>
      </c>
      <c r="B353" s="3" t="s">
        <v>144</v>
      </c>
      <c r="C353" s="73">
        <v>200</v>
      </c>
      <c r="D353" s="33"/>
      <c r="E353" s="78" t="s">
        <v>205</v>
      </c>
      <c r="F353" s="24"/>
      <c r="G353" s="24"/>
      <c r="H353" s="19"/>
      <c r="I353" s="19"/>
      <c r="J353" s="49"/>
      <c r="K353" s="49"/>
      <c r="L353" s="2"/>
      <c r="M353" s="78"/>
    </row>
    <row r="354" spans="1:13" s="6" customFormat="1" ht="69" x14ac:dyDescent="0.25">
      <c r="A354" s="4" t="s">
        <v>206</v>
      </c>
      <c r="B354" s="3" t="s">
        <v>144</v>
      </c>
      <c r="C354" s="73">
        <f>0.02*C353</f>
        <v>4</v>
      </c>
      <c r="D354" s="33"/>
      <c r="E354" s="78" t="s">
        <v>207</v>
      </c>
      <c r="F354" s="24"/>
      <c r="G354" s="24"/>
      <c r="H354" s="19"/>
      <c r="I354" s="19"/>
      <c r="J354" s="49"/>
      <c r="K354" s="49"/>
      <c r="L354" s="2"/>
      <c r="M354" s="78"/>
    </row>
    <row r="355" spans="1:13" s="6" customFormat="1" ht="82.8" x14ac:dyDescent="0.25">
      <c r="A355" s="4" t="s">
        <v>208</v>
      </c>
      <c r="B355" s="3" t="s">
        <v>144</v>
      </c>
      <c r="C355" s="73">
        <f>(1/50)*11</f>
        <v>0.22</v>
      </c>
      <c r="D355" s="33"/>
      <c r="E355" s="78" t="s">
        <v>209</v>
      </c>
      <c r="F355" s="24"/>
      <c r="G355" s="24"/>
      <c r="H355" s="19"/>
      <c r="I355" s="19"/>
      <c r="J355" s="49"/>
      <c r="K355" s="49"/>
      <c r="L355" s="2"/>
      <c r="M355" s="78"/>
    </row>
    <row r="356" spans="1:13" s="6" customFormat="1" x14ac:dyDescent="0.25">
      <c r="A356" s="4" t="s">
        <v>210</v>
      </c>
      <c r="B356" s="3" t="s">
        <v>144</v>
      </c>
      <c r="C356" s="73">
        <v>1</v>
      </c>
      <c r="D356" s="33"/>
      <c r="E356" s="78" t="s">
        <v>211</v>
      </c>
      <c r="F356" s="24"/>
      <c r="G356" s="24"/>
      <c r="H356" s="19"/>
      <c r="I356" s="19"/>
      <c r="J356" s="49"/>
      <c r="K356" s="49"/>
      <c r="L356" s="2"/>
      <c r="M356" s="78"/>
    </row>
    <row r="357" spans="1:13" s="6" customFormat="1" ht="169.2" x14ac:dyDescent="0.25">
      <c r="A357" s="4" t="s">
        <v>212</v>
      </c>
      <c r="B357" s="3" t="s">
        <v>144</v>
      </c>
      <c r="C357" s="73">
        <f>100*3.8*0.00886</f>
        <v>3.3668</v>
      </c>
      <c r="D357" s="33"/>
      <c r="E357" s="78" t="s">
        <v>213</v>
      </c>
      <c r="F357" s="24"/>
      <c r="G357" s="24"/>
      <c r="H357" s="19"/>
      <c r="I357" s="19"/>
      <c r="J357" s="49"/>
      <c r="K357" s="49"/>
      <c r="L357" s="2"/>
      <c r="M357" s="78"/>
    </row>
    <row r="358" spans="1:13" s="6" customFormat="1" ht="41.4" x14ac:dyDescent="0.25">
      <c r="A358" s="4" t="s">
        <v>76</v>
      </c>
      <c r="B358" s="3" t="s">
        <v>144</v>
      </c>
      <c r="C358" s="73">
        <f>0.2*80</f>
        <v>16</v>
      </c>
      <c r="D358" s="33"/>
      <c r="E358" s="78" t="s">
        <v>214</v>
      </c>
      <c r="F358" s="24"/>
      <c r="G358" s="24"/>
      <c r="H358" s="19"/>
      <c r="I358" s="19"/>
      <c r="J358" s="49"/>
      <c r="K358" s="49"/>
      <c r="L358" s="2"/>
      <c r="M358" s="78" t="s">
        <v>215</v>
      </c>
    </row>
    <row r="359" spans="1:13" s="6" customFormat="1" ht="41.4" x14ac:dyDescent="0.25">
      <c r="A359" s="4" t="s">
        <v>216</v>
      </c>
      <c r="B359" s="3" t="s">
        <v>144</v>
      </c>
      <c r="C359" s="73">
        <f>2*8.4</f>
        <v>16.8</v>
      </c>
      <c r="D359" s="33"/>
      <c r="E359" s="78" t="s">
        <v>217</v>
      </c>
      <c r="F359" s="24"/>
      <c r="G359" s="24"/>
      <c r="H359" s="19"/>
      <c r="I359" s="19"/>
      <c r="J359" s="49"/>
      <c r="K359" s="49"/>
      <c r="L359" s="2"/>
      <c r="M359" s="78"/>
    </row>
    <row r="360" spans="1:13" s="6" customFormat="1" ht="27.6" x14ac:dyDescent="0.25">
      <c r="A360" s="4" t="s">
        <v>218</v>
      </c>
      <c r="B360" s="3" t="s">
        <v>219</v>
      </c>
      <c r="C360" s="73">
        <v>145</v>
      </c>
      <c r="D360" s="33"/>
      <c r="E360" s="78" t="s">
        <v>220</v>
      </c>
      <c r="F360" s="24"/>
      <c r="G360" s="24"/>
      <c r="H360" s="19"/>
      <c r="I360" s="19"/>
      <c r="J360" s="49"/>
      <c r="K360" s="49"/>
      <c r="L360" s="2"/>
      <c r="M360" s="78" t="s">
        <v>221</v>
      </c>
    </row>
    <row r="361" spans="1:13" s="6" customFormat="1" ht="165.6" x14ac:dyDescent="0.25">
      <c r="A361" s="4" t="s">
        <v>222</v>
      </c>
      <c r="B361" s="3" t="s">
        <v>219</v>
      </c>
      <c r="C361" s="73">
        <v>200</v>
      </c>
      <c r="D361" s="33"/>
      <c r="E361" s="78" t="s">
        <v>223</v>
      </c>
      <c r="F361" s="24"/>
      <c r="G361" s="24"/>
      <c r="H361" s="19"/>
      <c r="I361" s="19"/>
      <c r="J361" s="49"/>
      <c r="K361" s="49"/>
      <c r="L361" s="2"/>
      <c r="M361" s="78" t="s">
        <v>224</v>
      </c>
    </row>
    <row r="362" spans="1:13" s="6" customFormat="1" ht="82.8" x14ac:dyDescent="0.25">
      <c r="A362" s="4" t="s">
        <v>225</v>
      </c>
      <c r="B362" s="3" t="s">
        <v>219</v>
      </c>
      <c r="C362" s="73">
        <v>50</v>
      </c>
      <c r="D362" s="33"/>
      <c r="E362" s="78" t="s">
        <v>226</v>
      </c>
      <c r="F362" s="24"/>
      <c r="G362" s="24"/>
      <c r="H362" s="19"/>
      <c r="I362" s="19"/>
      <c r="J362" s="49"/>
      <c r="K362" s="49"/>
      <c r="L362" s="2"/>
      <c r="M362" s="78" t="s">
        <v>227</v>
      </c>
    </row>
    <row r="363" spans="1:13" s="6" customFormat="1" ht="55.2" x14ac:dyDescent="0.25">
      <c r="A363" s="4" t="s">
        <v>228</v>
      </c>
      <c r="B363" s="3" t="s">
        <v>219</v>
      </c>
      <c r="C363" s="73">
        <v>25</v>
      </c>
      <c r="D363" s="33"/>
      <c r="E363" s="78" t="s">
        <v>229</v>
      </c>
      <c r="F363" s="24"/>
      <c r="G363" s="24"/>
      <c r="H363" s="19"/>
      <c r="I363" s="19"/>
      <c r="J363" s="49"/>
      <c r="K363" s="49"/>
      <c r="L363" s="2"/>
      <c r="M363" s="78" t="s">
        <v>227</v>
      </c>
    </row>
    <row r="364" spans="1:13" s="6" customFormat="1" ht="124.2" x14ac:dyDescent="0.25">
      <c r="A364" s="4" t="s">
        <v>230</v>
      </c>
      <c r="B364" s="3" t="s">
        <v>188</v>
      </c>
      <c r="C364" s="73">
        <v>18</v>
      </c>
      <c r="D364" s="33"/>
      <c r="E364" s="78" t="s">
        <v>231</v>
      </c>
      <c r="F364" s="24"/>
      <c r="G364" s="24"/>
      <c r="H364" s="19"/>
      <c r="I364" s="19"/>
      <c r="J364" s="49"/>
      <c r="K364" s="49"/>
      <c r="L364" s="2"/>
      <c r="M364" s="78" t="s">
        <v>232</v>
      </c>
    </row>
    <row r="365" spans="1:13" x14ac:dyDescent="0.25">
      <c r="A365" s="71" t="s">
        <v>35</v>
      </c>
      <c r="B365" s="15"/>
      <c r="C365" s="73"/>
      <c r="D365" s="25"/>
      <c r="E365" s="78"/>
      <c r="F365" s="24"/>
      <c r="G365" s="24" t="str">
        <f t="shared" ref="G365:G410" si="11">IF($F365="","",IF($F365="Gemessen","sehr gut",IF($F365="Berechnet","gut",IF($F365="Literaturwert","befriedigend",IF($F365="Geschätzt","schlecht",IF($F365="Keine Angabe","nicht erhoben",IF($F365="Datenbank (Gabi) | NUR UMSICHT","GaBi",IF($F365="Datenbank (ecoinvent) | NUR UMSICHT","ecoinvent"))))))))</f>
        <v/>
      </c>
      <c r="H365" s="19"/>
      <c r="I365" s="19"/>
      <c r="J365" s="28"/>
      <c r="K365" s="28"/>
      <c r="L365" s="2"/>
      <c r="M365" s="78"/>
    </row>
    <row r="366" spans="1:13" x14ac:dyDescent="0.25">
      <c r="A366" s="2" t="s">
        <v>233</v>
      </c>
      <c r="B366" s="4" t="s">
        <v>37</v>
      </c>
      <c r="C366" s="73">
        <v>1</v>
      </c>
      <c r="D366" s="25"/>
      <c r="E366" s="78"/>
      <c r="F366" s="24"/>
      <c r="G366" s="24"/>
      <c r="H366" s="19"/>
      <c r="I366" s="19"/>
      <c r="J366" s="28"/>
      <c r="K366" s="28"/>
      <c r="L366" s="2"/>
      <c r="M366" s="78"/>
    </row>
    <row r="367" spans="1:13" ht="55.2" x14ac:dyDescent="0.25">
      <c r="A367" s="2" t="s">
        <v>234</v>
      </c>
      <c r="B367" s="4" t="s">
        <v>144</v>
      </c>
      <c r="C367" s="73">
        <v>28.35</v>
      </c>
      <c r="D367" s="25"/>
      <c r="E367" s="78" t="s">
        <v>235</v>
      </c>
      <c r="F367" s="24"/>
      <c r="G367" s="24"/>
      <c r="H367" s="19"/>
      <c r="I367" s="19"/>
      <c r="J367" s="28"/>
      <c r="K367" s="28"/>
      <c r="L367" s="2"/>
      <c r="M367" s="78" t="s">
        <v>236</v>
      </c>
    </row>
    <row r="368" spans="1:13" ht="55.2" x14ac:dyDescent="0.25">
      <c r="A368" s="2" t="s">
        <v>237</v>
      </c>
      <c r="B368" s="4" t="s">
        <v>238</v>
      </c>
      <c r="C368" s="73">
        <v>3.9</v>
      </c>
      <c r="D368" s="25"/>
      <c r="E368" s="78" t="s">
        <v>239</v>
      </c>
      <c r="F368" s="24"/>
      <c r="G368" s="24"/>
      <c r="H368" s="19"/>
      <c r="I368" s="19"/>
      <c r="J368" s="28"/>
      <c r="K368" s="28"/>
      <c r="L368" s="2"/>
      <c r="M368" s="78" t="s">
        <v>236</v>
      </c>
    </row>
    <row r="369" spans="1:14" ht="41.4" x14ac:dyDescent="0.25">
      <c r="A369" s="2" t="s">
        <v>240</v>
      </c>
      <c r="B369" s="4" t="s">
        <v>45</v>
      </c>
      <c r="C369" s="73"/>
      <c r="D369" s="25"/>
      <c r="E369" s="121" t="s">
        <v>241</v>
      </c>
      <c r="F369" s="24"/>
      <c r="G369" s="24" t="str">
        <f t="shared" ref="G369" si="12">IF($F369="","",IF($F369="Gemessen","sehr gut",IF($F369="Berechnet","gut",IF($F369="Literaturwert","befriedigend",IF($F369="Geschätzt","schlecht",IF($F369="Keine Angabe","nicht erhoben",IF($F369="Datenbank (Gabi) | NUR UMSICHT","GaBi",IF($F369="Datenbank (ecoinvent) | NUR UMSICHT","ecoinvent"))))))))</f>
        <v/>
      </c>
      <c r="H369" s="19"/>
      <c r="I369" s="19"/>
      <c r="J369" s="14"/>
      <c r="K369" s="14"/>
      <c r="L369" s="2"/>
      <c r="M369" s="78" t="s">
        <v>236</v>
      </c>
    </row>
    <row r="370" spans="1:14" ht="41.4" x14ac:dyDescent="0.25">
      <c r="A370" s="4" t="s">
        <v>242</v>
      </c>
      <c r="B370" s="4" t="s">
        <v>144</v>
      </c>
      <c r="C370" s="23">
        <f>C347</f>
        <v>1.0074000000000001</v>
      </c>
      <c r="D370" s="33"/>
      <c r="E370" s="78"/>
      <c r="F370" s="24"/>
      <c r="G370" s="24"/>
      <c r="H370" s="19"/>
      <c r="I370" s="19"/>
      <c r="J370" s="14"/>
      <c r="K370" s="14"/>
      <c r="L370" s="2"/>
      <c r="M370" s="78" t="s">
        <v>236</v>
      </c>
    </row>
    <row r="371" spans="1:14" ht="82.8" x14ac:dyDescent="0.25">
      <c r="A371" s="4" t="s">
        <v>243</v>
      </c>
      <c r="B371" s="4" t="s">
        <v>144</v>
      </c>
      <c r="C371" s="73">
        <f>5*6.55</f>
        <v>32.75</v>
      </c>
      <c r="D371" s="34"/>
      <c r="E371" s="78" t="s">
        <v>244</v>
      </c>
      <c r="F371" s="24"/>
      <c r="G371" s="24"/>
      <c r="H371" s="19"/>
      <c r="I371" s="19"/>
      <c r="J371" s="28"/>
      <c r="K371" s="28"/>
      <c r="L371" s="2"/>
      <c r="M371" s="78" t="s">
        <v>236</v>
      </c>
    </row>
    <row r="372" spans="1:14" ht="41.4" x14ac:dyDescent="0.25">
      <c r="A372" s="4" t="s">
        <v>245</v>
      </c>
      <c r="B372" s="4" t="s">
        <v>144</v>
      </c>
      <c r="C372" s="73">
        <f>11*6.55</f>
        <v>72.05</v>
      </c>
      <c r="D372" s="34"/>
      <c r="E372" s="78" t="s">
        <v>196</v>
      </c>
      <c r="F372" s="24"/>
      <c r="G372" s="24"/>
      <c r="H372" s="19"/>
      <c r="I372" s="19"/>
      <c r="J372" s="28"/>
      <c r="K372" s="28"/>
      <c r="L372" s="2"/>
      <c r="M372" s="78" t="s">
        <v>236</v>
      </c>
    </row>
    <row r="373" spans="1:14" ht="41.4" x14ac:dyDescent="0.25">
      <c r="A373" s="2" t="s">
        <v>246</v>
      </c>
      <c r="B373" s="4" t="s">
        <v>144</v>
      </c>
      <c r="C373" s="23">
        <f>2*7.8</f>
        <v>15.6</v>
      </c>
      <c r="D373" s="25"/>
      <c r="E373" s="78" t="s">
        <v>198</v>
      </c>
      <c r="F373" s="24"/>
      <c r="G373" s="24"/>
      <c r="H373" s="19"/>
      <c r="I373" s="19"/>
      <c r="J373" s="28"/>
      <c r="K373" s="28"/>
      <c r="L373" s="2"/>
      <c r="M373" s="78" t="s">
        <v>236</v>
      </c>
    </row>
    <row r="374" spans="1:14" ht="41.4" x14ac:dyDescent="0.25">
      <c r="A374" s="2" t="s">
        <v>247</v>
      </c>
      <c r="B374" s="4" t="s">
        <v>144</v>
      </c>
      <c r="C374" s="23">
        <f>C352</f>
        <v>2.8570000000000002</v>
      </c>
      <c r="D374" s="25"/>
      <c r="E374" s="78"/>
      <c r="F374" s="24"/>
      <c r="G374" s="24"/>
      <c r="H374" s="19"/>
      <c r="I374" s="19"/>
      <c r="J374" s="28"/>
      <c r="K374" s="28"/>
      <c r="L374" s="2"/>
      <c r="M374" s="78" t="s">
        <v>163</v>
      </c>
    </row>
    <row r="375" spans="1:14" ht="66.900000000000006" customHeight="1" x14ac:dyDescent="0.25">
      <c r="A375" s="2" t="s">
        <v>248</v>
      </c>
      <c r="B375" s="4" t="s">
        <v>144</v>
      </c>
      <c r="C375" s="23">
        <f>C355</f>
        <v>0.22</v>
      </c>
      <c r="D375" s="25"/>
      <c r="E375" s="78"/>
      <c r="F375" s="24"/>
      <c r="G375" s="24"/>
      <c r="H375" s="19"/>
      <c r="I375" s="19"/>
      <c r="J375" s="28"/>
      <c r="K375" s="28"/>
      <c r="L375" s="2"/>
      <c r="M375" s="78" t="s">
        <v>158</v>
      </c>
    </row>
    <row r="376" spans="1:14" ht="41.4" x14ac:dyDescent="0.25">
      <c r="A376" s="2" t="s">
        <v>249</v>
      </c>
      <c r="B376" s="4" t="s">
        <v>188</v>
      </c>
      <c r="C376" s="23">
        <v>18</v>
      </c>
      <c r="D376" s="25"/>
      <c r="E376" s="78"/>
      <c r="F376" s="24"/>
      <c r="G376" s="24"/>
      <c r="H376" s="19"/>
      <c r="I376" s="19"/>
      <c r="J376" s="28"/>
      <c r="K376" s="28"/>
      <c r="L376" s="2"/>
      <c r="M376" s="78" t="s">
        <v>250</v>
      </c>
    </row>
    <row r="377" spans="1:14" ht="55.2" x14ac:dyDescent="0.25">
      <c r="A377" s="2" t="s">
        <v>251</v>
      </c>
      <c r="B377" s="4" t="s">
        <v>144</v>
      </c>
      <c r="C377" s="73">
        <f>C359</f>
        <v>16.8</v>
      </c>
      <c r="D377" s="25"/>
      <c r="E377" s="78" t="s">
        <v>252</v>
      </c>
      <c r="F377" s="24"/>
      <c r="G377" s="24"/>
      <c r="H377" s="19"/>
      <c r="I377" s="19"/>
      <c r="J377" s="28"/>
      <c r="K377" s="28"/>
      <c r="L377" s="2"/>
      <c r="M377" s="78" t="s">
        <v>253</v>
      </c>
    </row>
    <row r="378" spans="1:14" ht="41.4" x14ac:dyDescent="0.25">
      <c r="A378" s="2" t="s">
        <v>254</v>
      </c>
      <c r="B378" s="3" t="s">
        <v>144</v>
      </c>
      <c r="C378" s="73">
        <f>C313</f>
        <v>1.3467199999999999</v>
      </c>
      <c r="D378" s="25">
        <v>1.3467199999999999</v>
      </c>
      <c r="E378" s="78"/>
      <c r="F378" s="24"/>
      <c r="G378" s="24"/>
      <c r="H378" s="19"/>
      <c r="I378" s="19"/>
      <c r="J378" s="28"/>
      <c r="K378" s="28"/>
      <c r="L378" s="2"/>
      <c r="M378" s="78" t="s">
        <v>236</v>
      </c>
    </row>
    <row r="379" spans="1:14" ht="285.60000000000002" customHeight="1" thickBot="1" x14ac:dyDescent="0.3">
      <c r="A379" s="4" t="s">
        <v>255</v>
      </c>
      <c r="B379" s="4" t="s">
        <v>156</v>
      </c>
      <c r="C379" s="23">
        <f>0.1*(((SUM(C360:C363)/1.36)/1000)*600)</f>
        <v>18.529411764705884</v>
      </c>
      <c r="D379" s="34"/>
      <c r="E379" s="174" t="s">
        <v>256</v>
      </c>
      <c r="F379" s="175" t="s">
        <v>257</v>
      </c>
      <c r="G379" s="24"/>
      <c r="H379" s="23"/>
      <c r="I379" s="23"/>
      <c r="J379" s="176"/>
      <c r="K379" s="176"/>
      <c r="L379" s="113"/>
      <c r="M379" s="78"/>
      <c r="N379" s="177" t="s">
        <v>258</v>
      </c>
    </row>
    <row r="380" spans="1:14" x14ac:dyDescent="0.25">
      <c r="A380" s="2"/>
      <c r="B380" s="4"/>
      <c r="C380" s="73"/>
      <c r="D380" s="25"/>
      <c r="E380" s="78"/>
      <c r="F380" s="24"/>
      <c r="G380" s="24"/>
      <c r="H380" s="19"/>
      <c r="I380" s="19"/>
      <c r="J380" s="28"/>
      <c r="K380" s="28"/>
      <c r="L380" s="2"/>
      <c r="M380" s="78"/>
    </row>
    <row r="381" spans="1:14" x14ac:dyDescent="0.25">
      <c r="A381" s="71" t="s">
        <v>259</v>
      </c>
      <c r="B381" s="4"/>
      <c r="C381" s="73"/>
      <c r="D381" s="25"/>
      <c r="E381" s="78"/>
      <c r="F381" s="24"/>
      <c r="G381" s="24"/>
      <c r="H381" s="19"/>
      <c r="I381" s="19"/>
      <c r="J381" s="28"/>
      <c r="K381" s="28"/>
      <c r="L381" s="2"/>
      <c r="M381" s="78"/>
    </row>
    <row r="382" spans="1:14" s="6" customFormat="1" ht="82.8" x14ac:dyDescent="0.25">
      <c r="A382" s="4" t="s">
        <v>260</v>
      </c>
      <c r="B382" s="4"/>
      <c r="C382" s="73" t="s">
        <v>261</v>
      </c>
      <c r="D382" s="34"/>
      <c r="E382" s="78" t="s">
        <v>262</v>
      </c>
      <c r="F382" s="24"/>
      <c r="G382" s="24"/>
      <c r="H382" s="19"/>
      <c r="I382" s="19"/>
      <c r="J382" s="28"/>
      <c r="K382" s="28"/>
      <c r="L382" s="2"/>
      <c r="M382" s="78"/>
      <c r="N382" s="1"/>
    </row>
    <row r="383" spans="1:14" s="6" customFormat="1" ht="69" x14ac:dyDescent="0.25">
      <c r="A383" s="4" t="s">
        <v>263</v>
      </c>
      <c r="B383" s="4"/>
      <c r="C383" s="73"/>
      <c r="D383" s="34"/>
      <c r="E383" s="78" t="s">
        <v>264</v>
      </c>
      <c r="F383" s="24"/>
      <c r="G383" s="24"/>
      <c r="H383" s="19"/>
      <c r="I383" s="19"/>
      <c r="J383" s="28"/>
      <c r="K383" s="28"/>
      <c r="L383" s="2"/>
      <c r="M383" s="78"/>
      <c r="N383" s="1"/>
    </row>
    <row r="384" spans="1:14" s="6" customFormat="1" ht="41.4" x14ac:dyDescent="0.25">
      <c r="A384" s="4" t="s">
        <v>265</v>
      </c>
      <c r="B384" s="3"/>
      <c r="C384" s="73"/>
      <c r="D384" s="33"/>
      <c r="E384" s="78" t="s">
        <v>266</v>
      </c>
      <c r="F384" s="24"/>
      <c r="G384" s="24"/>
      <c r="H384" s="19"/>
      <c r="I384" s="19"/>
      <c r="J384" s="49"/>
      <c r="K384" s="49"/>
      <c r="L384" s="2"/>
      <c r="M384" s="78"/>
    </row>
    <row r="385" spans="1:14" s="6" customFormat="1" ht="27.6" x14ac:dyDescent="0.25">
      <c r="A385" s="4" t="s">
        <v>267</v>
      </c>
      <c r="B385" s="3" t="s">
        <v>128</v>
      </c>
      <c r="C385" s="73">
        <v>2</v>
      </c>
      <c r="D385" s="33"/>
      <c r="E385" s="78" t="s">
        <v>268</v>
      </c>
      <c r="F385" s="24"/>
      <c r="G385" s="24"/>
      <c r="H385" s="19"/>
      <c r="I385" s="19"/>
      <c r="J385" s="49"/>
      <c r="K385" s="49"/>
      <c r="L385" s="2"/>
      <c r="M385" s="78"/>
    </row>
    <row r="386" spans="1:14" s="6" customFormat="1" x14ac:dyDescent="0.25">
      <c r="A386" s="4" t="s">
        <v>269</v>
      </c>
      <c r="B386" s="3"/>
      <c r="C386" s="73"/>
      <c r="D386" s="33"/>
      <c r="E386" s="78" t="s">
        <v>270</v>
      </c>
      <c r="F386" s="24"/>
      <c r="G386" s="24"/>
      <c r="H386" s="19"/>
      <c r="I386" s="19"/>
      <c r="J386" s="49"/>
      <c r="K386" s="49"/>
      <c r="L386" s="2"/>
      <c r="M386" s="78"/>
    </row>
    <row r="387" spans="1:14" ht="41.4" hidden="1" x14ac:dyDescent="0.25">
      <c r="A387" s="4" t="s">
        <v>271</v>
      </c>
      <c r="B387" s="3"/>
      <c r="C387" s="73"/>
      <c r="D387" s="33"/>
      <c r="E387" s="78" t="s">
        <v>272</v>
      </c>
      <c r="F387" s="24"/>
      <c r="G387" s="24"/>
      <c r="H387" s="19"/>
      <c r="I387" s="19"/>
      <c r="J387" s="49"/>
      <c r="K387" s="49"/>
      <c r="L387" s="2"/>
      <c r="M387" s="78"/>
      <c r="N387" s="6"/>
    </row>
    <row r="388" spans="1:14" hidden="1" x14ac:dyDescent="0.25">
      <c r="A388" s="4"/>
      <c r="B388" s="3"/>
      <c r="C388" s="73"/>
      <c r="D388" s="33"/>
      <c r="E388" s="78"/>
      <c r="F388" s="24"/>
      <c r="G388" s="24"/>
      <c r="H388" s="19"/>
      <c r="I388" s="19"/>
      <c r="J388" s="49"/>
      <c r="K388" s="49"/>
      <c r="L388" s="2"/>
      <c r="M388" s="78"/>
      <c r="N388" s="6"/>
    </row>
    <row r="389" spans="1:14" ht="41.4" hidden="1" x14ac:dyDescent="0.25">
      <c r="A389" s="10" t="s">
        <v>273</v>
      </c>
      <c r="B389" s="11" t="s">
        <v>10</v>
      </c>
      <c r="C389" s="89" t="s">
        <v>1</v>
      </c>
      <c r="D389" s="11" t="s">
        <v>11</v>
      </c>
      <c r="E389" s="10" t="s">
        <v>12</v>
      </c>
      <c r="F389" s="35" t="s">
        <v>13</v>
      </c>
      <c r="G389" s="35" t="s">
        <v>14</v>
      </c>
      <c r="H389" s="35" t="s">
        <v>15</v>
      </c>
      <c r="I389" s="18" t="s">
        <v>16</v>
      </c>
      <c r="J389" s="18" t="s">
        <v>17</v>
      </c>
      <c r="K389" s="18" t="s">
        <v>18</v>
      </c>
      <c r="L389" s="11" t="s">
        <v>19</v>
      </c>
      <c r="M389" s="10"/>
    </row>
    <row r="390" spans="1:14" hidden="1" x14ac:dyDescent="0.25">
      <c r="A390" s="66" t="s">
        <v>22</v>
      </c>
      <c r="B390" s="11"/>
      <c r="C390" s="89"/>
      <c r="D390" s="11"/>
      <c r="E390" s="10"/>
      <c r="F390" s="35"/>
      <c r="G390" s="35"/>
      <c r="H390" s="35"/>
      <c r="I390" s="18"/>
      <c r="J390" s="18"/>
      <c r="K390" s="18"/>
      <c r="L390" s="11"/>
      <c r="M390" s="10"/>
    </row>
    <row r="391" spans="1:14" hidden="1" x14ac:dyDescent="0.25">
      <c r="A391" s="66" t="s">
        <v>25</v>
      </c>
      <c r="B391" s="11"/>
      <c r="C391" s="89"/>
      <c r="D391" s="11"/>
      <c r="E391" s="10"/>
      <c r="F391" s="35"/>
      <c r="G391" s="35"/>
      <c r="H391" s="35"/>
      <c r="I391" s="18"/>
      <c r="J391" s="18"/>
      <c r="K391" s="18"/>
      <c r="L391" s="11"/>
      <c r="M391" s="10"/>
    </row>
    <row r="392" spans="1:14" hidden="1" x14ac:dyDescent="0.25">
      <c r="A392" s="46" t="s">
        <v>26</v>
      </c>
      <c r="B392" s="15"/>
      <c r="C392" s="73"/>
      <c r="D392" s="34"/>
      <c r="E392" s="78"/>
      <c r="F392" s="24"/>
      <c r="G392" s="24" t="str">
        <f t="shared" si="11"/>
        <v/>
      </c>
      <c r="H392" s="19"/>
      <c r="I392" s="19"/>
      <c r="J392" s="28"/>
      <c r="K392" s="28"/>
      <c r="L392" s="2"/>
      <c r="M392" s="78"/>
    </row>
    <row r="393" spans="1:14" hidden="1" x14ac:dyDescent="0.25">
      <c r="A393" s="2" t="s">
        <v>274</v>
      </c>
      <c r="B393" s="4" t="s">
        <v>39</v>
      </c>
      <c r="C393" s="73"/>
      <c r="D393" s="30"/>
      <c r="E393" s="80"/>
      <c r="F393" s="24"/>
      <c r="G393" s="24" t="str">
        <f t="shared" si="11"/>
        <v/>
      </c>
      <c r="H393" s="19"/>
      <c r="I393" s="19"/>
      <c r="J393" s="28"/>
      <c r="K393" s="28"/>
      <c r="L393" s="2"/>
      <c r="M393" s="80"/>
    </row>
    <row r="394" spans="1:14" hidden="1" x14ac:dyDescent="0.25">
      <c r="A394" s="2" t="s">
        <v>275</v>
      </c>
      <c r="B394" s="4" t="s">
        <v>28</v>
      </c>
      <c r="C394" s="73"/>
      <c r="D394" s="30"/>
      <c r="E394" s="80"/>
      <c r="F394" s="24"/>
      <c r="G394" s="24"/>
      <c r="H394" s="19"/>
      <c r="I394" s="19"/>
      <c r="J394" s="28"/>
      <c r="K394" s="28"/>
      <c r="L394" s="2"/>
      <c r="M394" s="80"/>
    </row>
    <row r="395" spans="1:14" hidden="1" x14ac:dyDescent="0.25">
      <c r="A395" s="2" t="s">
        <v>276</v>
      </c>
      <c r="B395" s="4" t="s">
        <v>28</v>
      </c>
      <c r="C395" s="73"/>
      <c r="D395" s="30"/>
      <c r="E395" s="80"/>
      <c r="F395" s="24"/>
      <c r="G395" s="24"/>
      <c r="H395" s="19"/>
      <c r="I395" s="19"/>
      <c r="J395" s="28"/>
      <c r="K395" s="28"/>
      <c r="L395" s="2"/>
      <c r="M395" s="80"/>
    </row>
    <row r="396" spans="1:14" hidden="1" x14ac:dyDescent="0.25">
      <c r="A396" s="76" t="s">
        <v>277</v>
      </c>
      <c r="B396" s="4" t="s">
        <v>28</v>
      </c>
      <c r="C396" s="73"/>
      <c r="D396" s="30"/>
      <c r="E396" s="80"/>
      <c r="F396" s="24"/>
      <c r="G396" s="24"/>
      <c r="H396" s="19"/>
      <c r="I396" s="19"/>
      <c r="J396" s="28"/>
      <c r="K396" s="28"/>
      <c r="L396" s="2"/>
      <c r="M396" s="80"/>
    </row>
    <row r="397" spans="1:14" s="6" customFormat="1" hidden="1" x14ac:dyDescent="0.25">
      <c r="A397" s="2" t="s">
        <v>278</v>
      </c>
      <c r="B397" s="4" t="s">
        <v>33</v>
      </c>
      <c r="C397" s="73"/>
      <c r="D397" s="30"/>
      <c r="E397" s="80"/>
      <c r="F397" s="24"/>
      <c r="G397" s="24"/>
      <c r="H397" s="19"/>
      <c r="I397" s="19"/>
      <c r="J397" s="28"/>
      <c r="K397" s="28"/>
      <c r="L397" s="2"/>
      <c r="M397" s="80"/>
      <c r="N397" s="1"/>
    </row>
    <row r="398" spans="1:14" s="6" customFormat="1" hidden="1" x14ac:dyDescent="0.25">
      <c r="A398" s="70"/>
      <c r="B398" s="4"/>
      <c r="C398" s="73"/>
      <c r="D398" s="25"/>
      <c r="E398" s="78"/>
      <c r="F398" s="24"/>
      <c r="G398" s="24"/>
      <c r="H398" s="19"/>
      <c r="I398" s="19"/>
      <c r="J398" s="14"/>
      <c r="K398" s="14"/>
      <c r="L398" s="2"/>
      <c r="M398" s="78"/>
      <c r="N398" s="1"/>
    </row>
    <row r="399" spans="1:14" s="6" customFormat="1" hidden="1" x14ac:dyDescent="0.25">
      <c r="A399" s="4"/>
      <c r="B399" s="3"/>
      <c r="C399" s="73"/>
      <c r="D399" s="33"/>
      <c r="E399" s="78"/>
      <c r="F399" s="24"/>
      <c r="G399" s="24"/>
      <c r="H399" s="19"/>
      <c r="I399" s="19"/>
      <c r="J399" s="49"/>
      <c r="K399" s="49"/>
      <c r="L399" s="2"/>
      <c r="M399" s="78"/>
    </row>
    <row r="400" spans="1:14" s="6" customFormat="1" hidden="1" x14ac:dyDescent="0.25">
      <c r="A400" s="4"/>
      <c r="B400" s="3"/>
      <c r="C400" s="73"/>
      <c r="D400" s="33"/>
      <c r="E400" s="78"/>
      <c r="F400" s="24"/>
      <c r="G400" s="24"/>
      <c r="H400" s="19"/>
      <c r="I400" s="19"/>
      <c r="J400" s="49"/>
      <c r="K400" s="49"/>
      <c r="L400" s="2"/>
      <c r="M400" s="78"/>
    </row>
    <row r="401" spans="1:14" s="6" customFormat="1" hidden="1" x14ac:dyDescent="0.25">
      <c r="A401" s="4"/>
      <c r="B401" s="3"/>
      <c r="C401" s="73"/>
      <c r="D401" s="33"/>
      <c r="E401" s="78"/>
      <c r="F401" s="24"/>
      <c r="G401" s="24"/>
      <c r="H401" s="19"/>
      <c r="I401" s="19"/>
      <c r="J401" s="49"/>
      <c r="K401" s="49"/>
      <c r="L401" s="2"/>
      <c r="M401" s="78"/>
    </row>
    <row r="402" spans="1:14" s="6" customFormat="1" hidden="1" x14ac:dyDescent="0.25">
      <c r="A402" s="4"/>
      <c r="B402" s="3"/>
      <c r="C402" s="73"/>
      <c r="D402" s="33"/>
      <c r="E402" s="78"/>
      <c r="F402" s="24"/>
      <c r="G402" s="24"/>
      <c r="H402" s="19"/>
      <c r="I402" s="19"/>
      <c r="J402" s="49"/>
      <c r="K402" s="49"/>
      <c r="L402" s="2"/>
      <c r="M402" s="78"/>
    </row>
    <row r="403" spans="1:14" s="6" customFormat="1" hidden="1" x14ac:dyDescent="0.25">
      <c r="A403" s="4"/>
      <c r="B403" s="3"/>
      <c r="C403" s="73"/>
      <c r="D403" s="33"/>
      <c r="E403" s="78"/>
      <c r="F403" s="24"/>
      <c r="G403" s="24"/>
      <c r="H403" s="19"/>
      <c r="I403" s="19"/>
      <c r="J403" s="49"/>
      <c r="K403" s="49"/>
      <c r="L403" s="2"/>
      <c r="M403" s="78"/>
    </row>
    <row r="404" spans="1:14" hidden="1" x14ac:dyDescent="0.25">
      <c r="A404" s="4"/>
      <c r="B404" s="3"/>
      <c r="C404" s="73"/>
      <c r="D404" s="33"/>
      <c r="E404" s="78"/>
      <c r="F404" s="24"/>
      <c r="G404" s="24"/>
      <c r="H404" s="19"/>
      <c r="I404" s="19"/>
      <c r="J404" s="49"/>
      <c r="K404" s="49"/>
      <c r="L404" s="2"/>
      <c r="M404" s="78"/>
      <c r="N404" s="6"/>
    </row>
    <row r="405" spans="1:14" hidden="1" x14ac:dyDescent="0.25">
      <c r="A405" s="4"/>
      <c r="B405" s="3"/>
      <c r="C405" s="73"/>
      <c r="D405" s="33"/>
      <c r="E405" s="78"/>
      <c r="F405" s="24"/>
      <c r="G405" s="24"/>
      <c r="H405" s="19"/>
      <c r="I405" s="19"/>
      <c r="J405" s="49"/>
      <c r="K405" s="49"/>
      <c r="L405" s="2"/>
      <c r="M405" s="78"/>
      <c r="N405" s="6"/>
    </row>
    <row r="406" spans="1:14" hidden="1" x14ac:dyDescent="0.25">
      <c r="A406" s="2"/>
      <c r="B406" s="15"/>
      <c r="C406" s="73"/>
      <c r="D406" s="25"/>
      <c r="E406" s="78"/>
      <c r="F406" s="24"/>
      <c r="G406" s="24" t="str">
        <f t="shared" ref="G406" si="13">IF($F406="","",IF($F406="Gemessen","sehr gut",IF($F406="Berechnet","gut",IF($F406="Literaturwert","befriedigend",IF($F406="Geschätzt","schlecht",IF($F406="Keine Angabe","nicht erhoben",IF($F406="Datenbank (Gabi) | NUR UMSICHT","GaBi",IF($F406="Datenbank (ecoinvent) | NUR UMSICHT","ecoinvent"))))))))</f>
        <v/>
      </c>
      <c r="H406" s="19"/>
      <c r="I406" s="19"/>
      <c r="J406" s="28"/>
      <c r="K406" s="28"/>
      <c r="L406" s="2"/>
      <c r="M406" s="78"/>
    </row>
    <row r="407" spans="1:14" hidden="1" x14ac:dyDescent="0.25">
      <c r="A407" s="2"/>
      <c r="B407" s="4"/>
      <c r="C407" s="73"/>
      <c r="D407" s="30"/>
      <c r="E407" s="80"/>
      <c r="F407" s="24"/>
      <c r="G407" s="24"/>
      <c r="H407" s="19"/>
      <c r="I407" s="19"/>
      <c r="J407" s="28"/>
      <c r="K407" s="28"/>
      <c r="L407" s="2"/>
      <c r="M407" s="80"/>
    </row>
    <row r="408" spans="1:14" hidden="1" x14ac:dyDescent="0.25">
      <c r="A408" s="71" t="s">
        <v>35</v>
      </c>
      <c r="B408" s="15"/>
      <c r="C408" s="73"/>
      <c r="D408" s="25"/>
      <c r="E408" s="78"/>
      <c r="F408" s="24"/>
      <c r="G408" s="24" t="str">
        <f t="shared" si="11"/>
        <v/>
      </c>
      <c r="H408" s="19"/>
      <c r="I408" s="19"/>
      <c r="J408" s="28"/>
      <c r="K408" s="28"/>
      <c r="L408" s="2"/>
      <c r="M408" s="78"/>
    </row>
    <row r="409" spans="1:14" hidden="1" x14ac:dyDescent="0.25">
      <c r="A409" s="2" t="s">
        <v>279</v>
      </c>
      <c r="B409" s="4" t="s">
        <v>37</v>
      </c>
      <c r="C409" s="73"/>
      <c r="D409" s="25"/>
      <c r="E409" s="78"/>
      <c r="F409" s="24"/>
      <c r="G409" s="24"/>
      <c r="H409" s="19"/>
      <c r="I409" s="19"/>
      <c r="J409" s="28"/>
      <c r="K409" s="28"/>
      <c r="L409" s="2"/>
      <c r="M409" s="78"/>
    </row>
    <row r="410" spans="1:14" hidden="1" x14ac:dyDescent="0.25">
      <c r="A410" s="2" t="s">
        <v>280</v>
      </c>
      <c r="B410" s="4" t="s">
        <v>45</v>
      </c>
      <c r="C410" s="73"/>
      <c r="D410" s="25"/>
      <c r="E410" s="78"/>
      <c r="F410" s="24"/>
      <c r="G410" s="24" t="str">
        <f t="shared" si="11"/>
        <v/>
      </c>
      <c r="H410" s="19"/>
      <c r="I410" s="19"/>
      <c r="J410" s="28"/>
      <c r="K410" s="28"/>
      <c r="L410" s="2"/>
      <c r="M410" s="78"/>
    </row>
    <row r="411" spans="1:14" s="6" customFormat="1" hidden="1" x14ac:dyDescent="0.25">
      <c r="A411" s="2" t="s">
        <v>281</v>
      </c>
      <c r="B411" s="3" t="s">
        <v>45</v>
      </c>
      <c r="C411" s="73"/>
      <c r="D411" s="25"/>
      <c r="E411" s="78"/>
      <c r="F411" s="24"/>
      <c r="G411" s="24"/>
      <c r="H411" s="19"/>
      <c r="I411" s="19"/>
      <c r="J411" s="28"/>
      <c r="K411" s="28"/>
      <c r="L411" s="2"/>
      <c r="M411" s="78"/>
      <c r="N411" s="1"/>
    </row>
    <row r="412" spans="1:14" s="6" customFormat="1" hidden="1" x14ac:dyDescent="0.25">
      <c r="A412" s="70"/>
      <c r="B412" s="4"/>
      <c r="C412" s="73"/>
      <c r="D412" s="25"/>
      <c r="E412" s="78"/>
      <c r="F412" s="24"/>
      <c r="G412" s="24"/>
      <c r="H412" s="19"/>
      <c r="I412" s="19"/>
      <c r="J412" s="14"/>
      <c r="K412" s="14"/>
      <c r="L412" s="2"/>
      <c r="M412" s="78"/>
      <c r="N412" s="1"/>
    </row>
    <row r="413" spans="1:14" s="6" customFormat="1" hidden="1" x14ac:dyDescent="0.25">
      <c r="A413" s="4"/>
      <c r="B413" s="3"/>
      <c r="C413" s="73"/>
      <c r="D413" s="33"/>
      <c r="E413" s="78"/>
      <c r="F413" s="24"/>
      <c r="G413" s="24"/>
      <c r="H413" s="19"/>
      <c r="I413" s="19"/>
      <c r="J413" s="49"/>
      <c r="K413" s="49"/>
      <c r="L413" s="2"/>
      <c r="M413" s="78"/>
    </row>
    <row r="414" spans="1:14" s="6" customFormat="1" hidden="1" x14ac:dyDescent="0.25">
      <c r="A414" s="4"/>
      <c r="B414" s="3"/>
      <c r="C414" s="73"/>
      <c r="D414" s="33"/>
      <c r="E414" s="78"/>
      <c r="F414" s="24"/>
      <c r="G414" s="24"/>
      <c r="H414" s="19"/>
      <c r="I414" s="19"/>
      <c r="J414" s="49"/>
      <c r="K414" s="49"/>
      <c r="L414" s="2"/>
      <c r="M414" s="78"/>
    </row>
    <row r="415" spans="1:14" s="6" customFormat="1" hidden="1" x14ac:dyDescent="0.25">
      <c r="A415" s="4"/>
      <c r="B415" s="3"/>
      <c r="C415" s="73"/>
      <c r="D415" s="33"/>
      <c r="E415" s="78"/>
      <c r="F415" s="24"/>
      <c r="G415" s="24"/>
      <c r="H415" s="19"/>
      <c r="I415" s="19"/>
      <c r="J415" s="49"/>
      <c r="K415" s="49"/>
      <c r="L415" s="2"/>
      <c r="M415" s="78"/>
    </row>
    <row r="416" spans="1:14" s="6" customFormat="1" hidden="1" x14ac:dyDescent="0.25">
      <c r="A416" s="4"/>
      <c r="B416" s="3"/>
      <c r="C416" s="73"/>
      <c r="D416" s="33"/>
      <c r="E416" s="78"/>
      <c r="F416" s="24"/>
      <c r="G416" s="24"/>
      <c r="H416" s="19"/>
      <c r="I416" s="19"/>
      <c r="J416" s="49"/>
      <c r="K416" s="49"/>
      <c r="L416" s="2"/>
      <c r="M416" s="78"/>
    </row>
    <row r="417" spans="1:14" s="6" customFormat="1" hidden="1" x14ac:dyDescent="0.25">
      <c r="A417" s="4"/>
      <c r="B417" s="3"/>
      <c r="C417" s="73"/>
      <c r="D417" s="33"/>
      <c r="E417" s="78"/>
      <c r="F417" s="24"/>
      <c r="G417" s="24"/>
      <c r="H417" s="19"/>
      <c r="I417" s="19"/>
      <c r="J417" s="49"/>
      <c r="K417" s="49"/>
      <c r="L417" s="2"/>
      <c r="M417" s="78"/>
    </row>
    <row r="418" spans="1:14" hidden="1" x14ac:dyDescent="0.25">
      <c r="A418" s="4"/>
      <c r="B418" s="3"/>
      <c r="C418" s="73"/>
      <c r="D418" s="33"/>
      <c r="E418" s="78"/>
      <c r="F418" s="24"/>
      <c r="G418" s="24"/>
      <c r="H418" s="19"/>
      <c r="I418" s="19"/>
      <c r="J418" s="49"/>
      <c r="K418" s="49"/>
      <c r="L418" s="2"/>
      <c r="M418" s="78"/>
      <c r="N418" s="6"/>
    </row>
    <row r="419" spans="1:14" hidden="1" x14ac:dyDescent="0.25">
      <c r="A419" s="4"/>
      <c r="B419" s="3"/>
      <c r="C419" s="73"/>
      <c r="D419" s="33"/>
      <c r="E419" s="78"/>
      <c r="F419" s="24"/>
      <c r="G419" s="24"/>
      <c r="H419" s="19"/>
      <c r="I419" s="19"/>
      <c r="J419" s="49"/>
      <c r="K419" s="49"/>
      <c r="L419" s="2"/>
      <c r="M419" s="78"/>
      <c r="N419" s="6"/>
    </row>
    <row r="420" spans="1:14" hidden="1" x14ac:dyDescent="0.25">
      <c r="A420" s="16"/>
      <c r="B420" s="15"/>
      <c r="C420" s="73"/>
      <c r="D420" s="25"/>
      <c r="E420" s="78"/>
      <c r="F420" s="24"/>
      <c r="G420" s="24" t="str">
        <f t="shared" ref="G420" si="14">IF($F420="","",IF($F420="Gemessen","sehr gut",IF($F420="Berechnet","gut",IF($F420="Literaturwert","befriedigend",IF($F420="Geschätzt","schlecht",IF($F420="Keine Angabe","nicht erhoben",IF($F420="Datenbank (Gabi) | NUR UMSICHT","GaBi",IF($F420="Datenbank (ecoinvent) | NUR UMSICHT","ecoinvent"))))))))</f>
        <v/>
      </c>
      <c r="H420" s="19"/>
      <c r="I420" s="19"/>
      <c r="J420" s="28"/>
      <c r="K420" s="28"/>
      <c r="L420" s="2"/>
      <c r="M420" s="78"/>
    </row>
    <row r="421" spans="1:14" ht="41.4" hidden="1" x14ac:dyDescent="0.25">
      <c r="A421" s="10" t="s">
        <v>68</v>
      </c>
      <c r="B421" s="11" t="s">
        <v>10</v>
      </c>
      <c r="C421" s="89" t="s">
        <v>1</v>
      </c>
      <c r="D421" s="11" t="s">
        <v>11</v>
      </c>
      <c r="E421" s="10" t="s">
        <v>12</v>
      </c>
      <c r="F421" s="35" t="s">
        <v>13</v>
      </c>
      <c r="G421" s="35" t="s">
        <v>14</v>
      </c>
      <c r="H421" s="35" t="s">
        <v>15</v>
      </c>
      <c r="I421" s="18" t="s">
        <v>16</v>
      </c>
      <c r="J421" s="18" t="s">
        <v>17</v>
      </c>
      <c r="K421" s="18" t="s">
        <v>18</v>
      </c>
      <c r="L421" s="11" t="s">
        <v>19</v>
      </c>
      <c r="M421" s="10"/>
    </row>
    <row r="422" spans="1:14" hidden="1" x14ac:dyDescent="0.25">
      <c r="A422" s="66" t="s">
        <v>22</v>
      </c>
      <c r="B422" s="11"/>
      <c r="C422" s="89"/>
      <c r="D422" s="11"/>
      <c r="E422" s="10"/>
      <c r="F422" s="35"/>
      <c r="G422" s="35"/>
      <c r="H422" s="35"/>
      <c r="I422" s="18"/>
      <c r="J422" s="18"/>
      <c r="K422" s="18"/>
      <c r="L422" s="11"/>
      <c r="M422" s="10"/>
    </row>
    <row r="423" spans="1:14" hidden="1" x14ac:dyDescent="0.25">
      <c r="A423" s="66" t="s">
        <v>25</v>
      </c>
      <c r="B423" s="11"/>
      <c r="C423" s="89"/>
      <c r="D423" s="11"/>
      <c r="E423" s="10"/>
      <c r="F423" s="35"/>
      <c r="G423" s="35"/>
      <c r="H423" s="35"/>
      <c r="I423" s="18"/>
      <c r="J423" s="18"/>
      <c r="K423" s="18"/>
      <c r="L423" s="11"/>
      <c r="M423" s="10"/>
    </row>
    <row r="424" spans="1:14" hidden="1" x14ac:dyDescent="0.25">
      <c r="A424" s="46" t="s">
        <v>26</v>
      </c>
      <c r="B424" s="15"/>
      <c r="C424" s="73"/>
      <c r="D424" s="34"/>
      <c r="E424" s="78"/>
      <c r="F424" s="24"/>
      <c r="G424" s="24" t="str">
        <f t="shared" ref="G424:G455" si="15">IF($F424="","",IF($F424="Gemessen","sehr gut",IF($F424="Berechnet","gut",IF($F424="Literaturwert","befriedigend",IF($F424="Geschätzt","schlecht",IF($F424="Keine Angabe","nicht erhoben",IF($F424="Datenbank (Gabi) | NUR UMSICHT","GaBi",IF($F424="Datenbank (ecoinvent) | NUR UMSICHT","ecoinvent"))))))))</f>
        <v/>
      </c>
      <c r="H424" s="19"/>
      <c r="I424" s="19"/>
      <c r="J424" s="28"/>
      <c r="K424" s="28"/>
      <c r="L424" s="2"/>
      <c r="M424" s="78"/>
    </row>
    <row r="425" spans="1:14" hidden="1" x14ac:dyDescent="0.25">
      <c r="A425" s="2" t="s">
        <v>279</v>
      </c>
      <c r="B425" s="4" t="s">
        <v>39</v>
      </c>
      <c r="C425" s="73"/>
      <c r="D425" s="25"/>
      <c r="E425" s="78"/>
      <c r="F425" s="24"/>
      <c r="G425" s="24" t="str">
        <f t="shared" si="15"/>
        <v/>
      </c>
      <c r="H425" s="19"/>
      <c r="I425" s="19"/>
      <c r="J425" s="29"/>
      <c r="K425" s="29"/>
      <c r="L425" s="2"/>
      <c r="M425" s="78"/>
    </row>
    <row r="426" spans="1:14" s="6" customFormat="1" hidden="1" x14ac:dyDescent="0.25">
      <c r="A426" s="4" t="s">
        <v>69</v>
      </c>
      <c r="B426" s="4" t="s">
        <v>28</v>
      </c>
      <c r="C426" s="73"/>
      <c r="D426" s="25"/>
      <c r="E426" s="78"/>
      <c r="F426" s="24"/>
      <c r="G426" s="24" t="str">
        <f t="shared" si="15"/>
        <v/>
      </c>
      <c r="H426" s="19"/>
      <c r="I426" s="19"/>
      <c r="J426" s="29"/>
      <c r="K426" s="29"/>
      <c r="L426" s="2"/>
      <c r="M426" s="78"/>
      <c r="N426" s="1"/>
    </row>
    <row r="427" spans="1:14" s="6" customFormat="1" hidden="1" x14ac:dyDescent="0.25">
      <c r="A427" s="4" t="s">
        <v>70</v>
      </c>
      <c r="B427" s="4" t="s">
        <v>28</v>
      </c>
      <c r="C427" s="73"/>
      <c r="D427" s="25"/>
      <c r="E427" s="78"/>
      <c r="F427" s="24"/>
      <c r="G427" s="24" t="str">
        <f t="shared" si="15"/>
        <v/>
      </c>
      <c r="H427" s="19"/>
      <c r="I427" s="19"/>
      <c r="J427" s="29"/>
      <c r="K427" s="29"/>
      <c r="L427" s="2"/>
      <c r="M427" s="78"/>
      <c r="N427" s="1"/>
    </row>
    <row r="428" spans="1:14" s="6" customFormat="1" hidden="1" x14ac:dyDescent="0.25">
      <c r="A428" s="4" t="s">
        <v>71</v>
      </c>
      <c r="B428" s="4" t="s">
        <v>28</v>
      </c>
      <c r="C428" s="73"/>
      <c r="D428" s="33"/>
      <c r="E428" s="78"/>
      <c r="F428" s="24"/>
      <c r="G428" s="24" t="str">
        <f t="shared" si="15"/>
        <v/>
      </c>
      <c r="H428" s="19"/>
      <c r="I428" s="19"/>
      <c r="J428" s="49"/>
      <c r="K428" s="49"/>
      <c r="L428" s="2"/>
      <c r="M428" s="78"/>
    </row>
    <row r="429" spans="1:14" s="6" customFormat="1" hidden="1" x14ac:dyDescent="0.25">
      <c r="A429" s="75" t="s">
        <v>72</v>
      </c>
      <c r="B429" s="4" t="s">
        <v>28</v>
      </c>
      <c r="C429" s="73"/>
      <c r="D429" s="33"/>
      <c r="E429" s="78"/>
      <c r="F429" s="24"/>
      <c r="G429" s="24"/>
      <c r="H429" s="19"/>
      <c r="I429" s="19"/>
      <c r="J429" s="49"/>
      <c r="K429" s="49"/>
      <c r="L429" s="2"/>
      <c r="M429" s="78"/>
    </row>
    <row r="430" spans="1:14" s="6" customFormat="1" hidden="1" x14ac:dyDescent="0.25">
      <c r="A430" s="75" t="s">
        <v>50</v>
      </c>
      <c r="B430" s="4" t="s">
        <v>28</v>
      </c>
      <c r="C430" s="73"/>
      <c r="D430" s="33"/>
      <c r="E430" s="78"/>
      <c r="F430" s="24"/>
      <c r="G430" s="24"/>
      <c r="H430" s="19"/>
      <c r="I430" s="19"/>
      <c r="J430" s="49"/>
      <c r="K430" s="49"/>
      <c r="L430" s="2"/>
      <c r="M430" s="78"/>
    </row>
    <row r="431" spans="1:14" s="6" customFormat="1" hidden="1" x14ac:dyDescent="0.25">
      <c r="A431" s="4" t="s">
        <v>73</v>
      </c>
      <c r="B431" s="4" t="s">
        <v>28</v>
      </c>
      <c r="C431" s="73"/>
      <c r="D431" s="33"/>
      <c r="E431" s="78"/>
      <c r="F431" s="24"/>
      <c r="G431" s="24"/>
      <c r="H431" s="19"/>
      <c r="I431" s="19"/>
      <c r="J431" s="49"/>
      <c r="K431" s="49"/>
      <c r="L431" s="2"/>
      <c r="M431" s="78"/>
    </row>
    <row r="432" spans="1:14" s="6" customFormat="1" hidden="1" x14ac:dyDescent="0.25">
      <c r="A432" s="4" t="s">
        <v>74</v>
      </c>
      <c r="B432" s="4" t="s">
        <v>28</v>
      </c>
      <c r="C432" s="73"/>
      <c r="D432" s="33"/>
      <c r="E432" s="78"/>
      <c r="F432" s="24"/>
      <c r="G432" s="24"/>
      <c r="H432" s="19"/>
      <c r="I432" s="19"/>
      <c r="J432" s="49"/>
      <c r="K432" s="49"/>
      <c r="L432" s="2"/>
      <c r="M432" s="78"/>
    </row>
    <row r="433" spans="1:14" s="6" customFormat="1" hidden="1" x14ac:dyDescent="0.25">
      <c r="A433" s="4" t="s">
        <v>75</v>
      </c>
      <c r="B433" s="4" t="s">
        <v>28</v>
      </c>
      <c r="C433" s="73"/>
      <c r="D433" s="33"/>
      <c r="E433" s="78"/>
      <c r="F433" s="24"/>
      <c r="G433" s="24"/>
      <c r="H433" s="19"/>
      <c r="I433" s="19"/>
      <c r="J433" s="49"/>
      <c r="K433" s="49"/>
      <c r="L433" s="2"/>
      <c r="M433" s="78"/>
    </row>
    <row r="434" spans="1:14" s="6" customFormat="1" hidden="1" x14ac:dyDescent="0.25">
      <c r="A434" s="4" t="s">
        <v>76</v>
      </c>
      <c r="B434" s="4" t="s">
        <v>28</v>
      </c>
      <c r="C434" s="73"/>
      <c r="D434" s="33"/>
      <c r="E434" s="78"/>
      <c r="F434" s="24"/>
      <c r="G434" s="24"/>
      <c r="H434" s="19"/>
      <c r="I434" s="19"/>
      <c r="J434" s="49"/>
      <c r="K434" s="49"/>
      <c r="L434" s="2"/>
      <c r="M434" s="78"/>
    </row>
    <row r="435" spans="1:14" s="6" customFormat="1" hidden="1" x14ac:dyDescent="0.25">
      <c r="A435" s="4" t="s">
        <v>77</v>
      </c>
      <c r="B435" s="4" t="s">
        <v>28</v>
      </c>
      <c r="C435" s="73"/>
      <c r="D435" s="33"/>
      <c r="E435" s="78"/>
      <c r="F435" s="24"/>
      <c r="G435" s="24"/>
      <c r="H435" s="19"/>
      <c r="I435" s="19"/>
      <c r="J435" s="49"/>
      <c r="K435" s="49"/>
      <c r="L435" s="2"/>
      <c r="M435" s="78"/>
    </row>
    <row r="436" spans="1:14" hidden="1" x14ac:dyDescent="0.25">
      <c r="A436" s="4" t="s">
        <v>78</v>
      </c>
      <c r="B436" s="4" t="s">
        <v>33</v>
      </c>
      <c r="C436" s="73"/>
      <c r="D436" s="33"/>
      <c r="E436" s="78"/>
      <c r="F436" s="24"/>
      <c r="G436" s="24"/>
      <c r="H436" s="19"/>
      <c r="I436" s="19"/>
      <c r="J436" s="49"/>
      <c r="K436" s="49"/>
      <c r="L436" s="2"/>
      <c r="M436" s="78"/>
      <c r="N436" s="6"/>
    </row>
    <row r="437" spans="1:14" s="6" customFormat="1" hidden="1" x14ac:dyDescent="0.25">
      <c r="A437" s="2" t="s">
        <v>79</v>
      </c>
      <c r="B437" s="4" t="s">
        <v>33</v>
      </c>
      <c r="C437" s="73"/>
      <c r="D437" s="33"/>
      <c r="E437" s="78"/>
      <c r="F437" s="24"/>
      <c r="G437" s="24"/>
      <c r="H437" s="19"/>
      <c r="I437" s="19"/>
      <c r="J437" s="49"/>
      <c r="K437" s="49"/>
      <c r="L437" s="2"/>
      <c r="M437" s="78"/>
    </row>
    <row r="438" spans="1:14" s="6" customFormat="1" hidden="1" x14ac:dyDescent="0.25">
      <c r="A438" s="70"/>
      <c r="B438" s="4"/>
      <c r="C438" s="73"/>
      <c r="D438" s="25"/>
      <c r="E438" s="78"/>
      <c r="F438" s="24"/>
      <c r="G438" s="24"/>
      <c r="H438" s="19"/>
      <c r="I438" s="19"/>
      <c r="J438" s="14"/>
      <c r="K438" s="14"/>
      <c r="L438" s="2"/>
      <c r="M438" s="78"/>
      <c r="N438" s="1"/>
    </row>
    <row r="439" spans="1:14" s="6" customFormat="1" hidden="1" x14ac:dyDescent="0.25">
      <c r="A439" s="4"/>
      <c r="B439" s="3"/>
      <c r="C439" s="73"/>
      <c r="D439" s="33"/>
      <c r="E439" s="78"/>
      <c r="F439" s="24"/>
      <c r="G439" s="24"/>
      <c r="H439" s="19"/>
      <c r="I439" s="19"/>
      <c r="J439" s="49"/>
      <c r="K439" s="49"/>
      <c r="L439" s="2"/>
      <c r="M439" s="78"/>
    </row>
    <row r="440" spans="1:14" s="6" customFormat="1" hidden="1" x14ac:dyDescent="0.25">
      <c r="A440" s="4"/>
      <c r="B440" s="3"/>
      <c r="C440" s="73"/>
      <c r="D440" s="33"/>
      <c r="E440" s="78"/>
      <c r="F440" s="24"/>
      <c r="G440" s="24"/>
      <c r="H440" s="19"/>
      <c r="I440" s="19"/>
      <c r="J440" s="49"/>
      <c r="K440" s="49"/>
      <c r="L440" s="2"/>
      <c r="M440" s="78"/>
    </row>
    <row r="441" spans="1:14" s="6" customFormat="1" hidden="1" x14ac:dyDescent="0.25">
      <c r="A441" s="4"/>
      <c r="B441" s="3"/>
      <c r="C441" s="73"/>
      <c r="D441" s="33"/>
      <c r="E441" s="78"/>
      <c r="F441" s="24"/>
      <c r="G441" s="24"/>
      <c r="H441" s="19"/>
      <c r="I441" s="19"/>
      <c r="J441" s="49"/>
      <c r="K441" s="49"/>
      <c r="L441" s="2"/>
      <c r="M441" s="78"/>
    </row>
    <row r="442" spans="1:14" s="6" customFormat="1" hidden="1" x14ac:dyDescent="0.25">
      <c r="A442" s="4"/>
      <c r="B442" s="3"/>
      <c r="C442" s="73"/>
      <c r="D442" s="33"/>
      <c r="E442" s="78"/>
      <c r="F442" s="24"/>
      <c r="G442" s="24"/>
      <c r="H442" s="19"/>
      <c r="I442" s="19"/>
      <c r="J442" s="49"/>
      <c r="K442" s="49"/>
      <c r="L442" s="2"/>
      <c r="M442" s="78"/>
    </row>
    <row r="443" spans="1:14" s="6" customFormat="1" hidden="1" x14ac:dyDescent="0.25">
      <c r="A443" s="4"/>
      <c r="B443" s="3"/>
      <c r="C443" s="73"/>
      <c r="D443" s="33"/>
      <c r="E443" s="78"/>
      <c r="F443" s="24"/>
      <c r="G443" s="24"/>
      <c r="H443" s="19"/>
      <c r="I443" s="19"/>
      <c r="J443" s="49"/>
      <c r="K443" s="49"/>
      <c r="L443" s="2"/>
      <c r="M443" s="78"/>
    </row>
    <row r="444" spans="1:14" hidden="1" x14ac:dyDescent="0.25">
      <c r="A444" s="4"/>
      <c r="B444" s="3"/>
      <c r="C444" s="73"/>
      <c r="D444" s="33"/>
      <c r="E444" s="78"/>
      <c r="F444" s="24"/>
      <c r="G444" s="24"/>
      <c r="H444" s="19"/>
      <c r="I444" s="19"/>
      <c r="J444" s="49"/>
      <c r="K444" s="49"/>
      <c r="L444" s="2"/>
      <c r="M444" s="78"/>
      <c r="N444" s="6"/>
    </row>
    <row r="445" spans="1:14" s="6" customFormat="1" hidden="1" x14ac:dyDescent="0.25">
      <c r="A445" s="4"/>
      <c r="B445" s="3"/>
      <c r="C445" s="73"/>
      <c r="D445" s="33"/>
      <c r="E445" s="78"/>
      <c r="F445" s="24"/>
      <c r="G445" s="24"/>
      <c r="H445" s="19"/>
      <c r="I445" s="19"/>
      <c r="J445" s="49"/>
      <c r="K445" s="49"/>
      <c r="L445" s="2"/>
      <c r="M445" s="78"/>
    </row>
    <row r="446" spans="1:14" s="63" customFormat="1" hidden="1" x14ac:dyDescent="0.25">
      <c r="A446" s="2"/>
      <c r="B446" s="15"/>
      <c r="C446" s="73"/>
      <c r="D446" s="25"/>
      <c r="E446" s="78"/>
      <c r="F446" s="24"/>
      <c r="G446" s="24" t="str">
        <f t="shared" ref="G446" si="16">IF($F446="","",IF($F446="Gemessen","sehr gut",IF($F446="Berechnet","gut",IF($F446="Literaturwert","befriedigend",IF($F446="Geschätzt","schlecht",IF($F446="Keine Angabe","nicht erhoben",IF($F446="Datenbank (Gabi) | NUR UMSICHT","GaBi",IF($F446="Datenbank (ecoinvent) | NUR UMSICHT","ecoinvent"))))))))</f>
        <v/>
      </c>
      <c r="H446" s="19"/>
      <c r="I446" s="19"/>
      <c r="J446" s="28"/>
      <c r="K446" s="28"/>
      <c r="L446" s="2"/>
      <c r="M446" s="78"/>
      <c r="N446" s="1"/>
    </row>
    <row r="447" spans="1:14" s="6" customFormat="1" hidden="1" x14ac:dyDescent="0.25">
      <c r="A447" s="70"/>
      <c r="B447" s="4"/>
      <c r="C447" s="73"/>
      <c r="D447" s="33"/>
      <c r="E447" s="78"/>
      <c r="F447" s="24"/>
      <c r="G447" s="24"/>
      <c r="H447" s="19"/>
      <c r="I447" s="19"/>
      <c r="J447" s="49"/>
      <c r="K447" s="49"/>
      <c r="L447" s="2"/>
      <c r="M447" s="78"/>
    </row>
    <row r="448" spans="1:14" s="6" customFormat="1" hidden="1" x14ac:dyDescent="0.25">
      <c r="A448" s="72" t="s">
        <v>35</v>
      </c>
      <c r="B448" s="56"/>
      <c r="C448" s="90"/>
      <c r="D448" s="57"/>
      <c r="E448" s="82"/>
      <c r="F448" s="59"/>
      <c r="G448" s="59" t="str">
        <f t="shared" si="15"/>
        <v/>
      </c>
      <c r="H448" s="60"/>
      <c r="I448" s="60"/>
      <c r="J448" s="61"/>
      <c r="K448" s="61"/>
      <c r="L448" s="62"/>
      <c r="M448" s="82"/>
      <c r="N448" s="63"/>
    </row>
    <row r="449" spans="1:14" s="6" customFormat="1" hidden="1" x14ac:dyDescent="0.25">
      <c r="A449" s="4" t="s">
        <v>80</v>
      </c>
      <c r="B449" s="4" t="s">
        <v>37</v>
      </c>
      <c r="C449" s="73"/>
      <c r="D449" s="33"/>
      <c r="E449" s="78"/>
      <c r="F449" s="24"/>
      <c r="G449" s="24" t="str">
        <f t="shared" si="15"/>
        <v/>
      </c>
      <c r="H449" s="19"/>
      <c r="I449" s="19"/>
      <c r="J449" s="14"/>
      <c r="K449" s="14"/>
      <c r="L449" s="2"/>
      <c r="M449" s="78"/>
    </row>
    <row r="450" spans="1:14" hidden="1" x14ac:dyDescent="0.25">
      <c r="A450" s="4" t="s">
        <v>81</v>
      </c>
      <c r="B450" s="4" t="s">
        <v>45</v>
      </c>
      <c r="C450" s="73"/>
      <c r="D450" s="33"/>
      <c r="E450" s="78"/>
      <c r="F450" s="24"/>
      <c r="G450" s="24" t="str">
        <f t="shared" si="15"/>
        <v/>
      </c>
      <c r="H450" s="19"/>
      <c r="I450" s="19"/>
      <c r="J450" s="14"/>
      <c r="K450" s="14"/>
      <c r="L450" s="2"/>
      <c r="M450" s="78"/>
      <c r="N450" s="6"/>
    </row>
    <row r="451" spans="1:14" hidden="1" x14ac:dyDescent="0.25">
      <c r="A451" s="4" t="s">
        <v>58</v>
      </c>
      <c r="B451" s="4" t="s">
        <v>45</v>
      </c>
      <c r="C451" s="73"/>
      <c r="D451" s="33"/>
      <c r="E451" s="78"/>
      <c r="F451" s="24"/>
      <c r="G451" s="24"/>
      <c r="H451" s="19"/>
      <c r="I451" s="19"/>
      <c r="J451" s="14"/>
      <c r="K451" s="14"/>
      <c r="L451" s="2"/>
      <c r="M451" s="78"/>
      <c r="N451" s="6"/>
    </row>
    <row r="452" spans="1:14" hidden="1" x14ac:dyDescent="0.25">
      <c r="A452" s="2" t="s">
        <v>57</v>
      </c>
      <c r="B452" s="4" t="s">
        <v>45</v>
      </c>
      <c r="C452" s="73"/>
      <c r="D452" s="25"/>
      <c r="E452" s="78"/>
      <c r="F452" s="24"/>
      <c r="G452" s="24" t="str">
        <f t="shared" si="15"/>
        <v/>
      </c>
      <c r="H452" s="19"/>
      <c r="I452" s="19"/>
      <c r="J452" s="28"/>
      <c r="K452" s="28"/>
      <c r="L452" s="2"/>
      <c r="M452" s="78"/>
    </row>
    <row r="453" spans="1:14" hidden="1" x14ac:dyDescent="0.25">
      <c r="A453" s="2" t="s">
        <v>82</v>
      </c>
      <c r="B453" s="4" t="s">
        <v>45</v>
      </c>
      <c r="C453" s="73"/>
      <c r="D453" s="25"/>
      <c r="E453" s="78"/>
      <c r="F453" s="24"/>
      <c r="G453" s="24"/>
      <c r="H453" s="19"/>
      <c r="I453" s="19"/>
      <c r="J453" s="28"/>
      <c r="K453" s="28"/>
      <c r="L453" s="2"/>
      <c r="M453" s="78"/>
    </row>
    <row r="454" spans="1:14" hidden="1" x14ac:dyDescent="0.25">
      <c r="A454" s="2" t="s">
        <v>83</v>
      </c>
      <c r="B454" s="4" t="s">
        <v>45</v>
      </c>
      <c r="C454" s="73"/>
      <c r="D454" s="25"/>
      <c r="E454" s="78"/>
      <c r="F454" s="24"/>
      <c r="G454" s="24" t="str">
        <f t="shared" si="15"/>
        <v/>
      </c>
      <c r="H454" s="19"/>
      <c r="I454" s="19"/>
      <c r="J454" s="28"/>
      <c r="K454" s="28"/>
      <c r="L454" s="2"/>
      <c r="M454" s="78"/>
    </row>
    <row r="455" spans="1:14" s="6" customFormat="1" hidden="1" x14ac:dyDescent="0.25">
      <c r="A455" s="2"/>
      <c r="B455" s="15"/>
      <c r="C455" s="73"/>
      <c r="D455" s="25"/>
      <c r="E455" s="78"/>
      <c r="F455" s="24"/>
      <c r="G455" s="24" t="str">
        <f t="shared" si="15"/>
        <v/>
      </c>
      <c r="H455" s="19"/>
      <c r="I455" s="19"/>
      <c r="J455" s="28"/>
      <c r="K455" s="28"/>
      <c r="L455" s="2"/>
      <c r="M455" s="78"/>
      <c r="N455" s="1"/>
    </row>
    <row r="456" spans="1:14" s="6" customFormat="1" hidden="1" x14ac:dyDescent="0.25">
      <c r="A456" s="70"/>
      <c r="B456" s="4"/>
      <c r="C456" s="73"/>
      <c r="D456" s="25"/>
      <c r="E456" s="78"/>
      <c r="F456" s="24"/>
      <c r="G456" s="24"/>
      <c r="H456" s="19"/>
      <c r="I456" s="19"/>
      <c r="J456" s="14"/>
      <c r="K456" s="14"/>
      <c r="L456" s="2"/>
      <c r="M456" s="78"/>
      <c r="N456" s="1"/>
    </row>
    <row r="457" spans="1:14" s="6" customFormat="1" hidden="1" x14ac:dyDescent="0.25">
      <c r="A457" s="4"/>
      <c r="B457" s="3"/>
      <c r="C457" s="73"/>
      <c r="D457" s="33"/>
      <c r="E457" s="78"/>
      <c r="F457" s="24"/>
      <c r="G457" s="24"/>
      <c r="H457" s="19"/>
      <c r="I457" s="19"/>
      <c r="J457" s="49"/>
      <c r="K457" s="49"/>
      <c r="L457" s="2"/>
      <c r="M457" s="78"/>
    </row>
    <row r="458" spans="1:14" s="6" customFormat="1" hidden="1" x14ac:dyDescent="0.25">
      <c r="A458" s="4"/>
      <c r="B458" s="3"/>
      <c r="C458" s="73"/>
      <c r="D458" s="33"/>
      <c r="E458" s="78"/>
      <c r="F458" s="24"/>
      <c r="G458" s="24"/>
      <c r="H458" s="19"/>
      <c r="I458" s="19"/>
      <c r="J458" s="49"/>
      <c r="K458" s="49"/>
      <c r="L458" s="2"/>
      <c r="M458" s="78"/>
    </row>
    <row r="459" spans="1:14" s="6" customFormat="1" hidden="1" x14ac:dyDescent="0.25">
      <c r="A459" s="4"/>
      <c r="B459" s="3"/>
      <c r="C459" s="73"/>
      <c r="D459" s="33"/>
      <c r="E459" s="78"/>
      <c r="F459" s="24"/>
      <c r="G459" s="24"/>
      <c r="H459" s="19"/>
      <c r="I459" s="19"/>
      <c r="J459" s="49"/>
      <c r="K459" s="49"/>
      <c r="L459" s="2"/>
      <c r="M459" s="78"/>
    </row>
    <row r="460" spans="1:14" s="6" customFormat="1" hidden="1" x14ac:dyDescent="0.25">
      <c r="A460" s="4"/>
      <c r="B460" s="3"/>
      <c r="C460" s="73"/>
      <c r="D460" s="33"/>
      <c r="E460" s="78"/>
      <c r="F460" s="24"/>
      <c r="G460" s="24"/>
      <c r="H460" s="19"/>
      <c r="I460" s="19"/>
      <c r="J460" s="49"/>
      <c r="K460" s="49"/>
      <c r="L460" s="2"/>
      <c r="M460" s="78"/>
    </row>
    <row r="461" spans="1:14" s="6" customFormat="1" hidden="1" x14ac:dyDescent="0.25">
      <c r="A461" s="4"/>
      <c r="B461" s="3"/>
      <c r="C461" s="73"/>
      <c r="D461" s="33"/>
      <c r="E461" s="78"/>
      <c r="F461" s="24"/>
      <c r="G461" s="24"/>
      <c r="H461" s="19"/>
      <c r="I461" s="19"/>
      <c r="J461" s="49"/>
      <c r="K461" s="49"/>
      <c r="L461" s="2"/>
      <c r="M461" s="78"/>
    </row>
    <row r="462" spans="1:14" hidden="1" x14ac:dyDescent="0.25">
      <c r="A462" s="4"/>
      <c r="B462" s="3"/>
      <c r="C462" s="73"/>
      <c r="D462" s="33"/>
      <c r="E462" s="78"/>
      <c r="F462" s="24"/>
      <c r="G462" s="24"/>
      <c r="H462" s="19"/>
      <c r="I462" s="19"/>
      <c r="J462" s="49"/>
      <c r="K462" s="49"/>
      <c r="L462" s="2"/>
      <c r="M462" s="78"/>
      <c r="N462" s="6"/>
    </row>
    <row r="463" spans="1:14" hidden="1" x14ac:dyDescent="0.25">
      <c r="A463" s="4"/>
      <c r="B463" s="3"/>
      <c r="C463" s="73"/>
      <c r="D463" s="33"/>
      <c r="E463" s="78"/>
      <c r="F463" s="24"/>
      <c r="G463" s="24"/>
      <c r="H463" s="19"/>
      <c r="I463" s="19"/>
      <c r="J463" s="49"/>
      <c r="K463" s="49"/>
      <c r="L463" s="2"/>
      <c r="M463" s="78"/>
      <c r="N463" s="6"/>
    </row>
    <row r="464" spans="1:14" x14ac:dyDescent="0.25">
      <c r="A464" s="16"/>
      <c r="B464" s="15"/>
      <c r="C464" s="73"/>
      <c r="D464" s="25"/>
      <c r="E464" s="78"/>
      <c r="F464" s="24"/>
      <c r="G464" s="24" t="str">
        <f t="shared" ref="G464" si="17">IF($F464="","",IF($F464="Gemessen","sehr gut",IF($F464="Berechnet","gut",IF($F464="Literaturwert","befriedigend",IF($F464="Geschätzt","schlecht",IF($F464="Keine Angabe","nicht erhoben",IF($F464="Datenbank (Gabi) | NUR UMSICHT","GaBi",IF($F464="Datenbank (ecoinvent) | NUR UMSICHT","ecoinvent"))))))))</f>
        <v/>
      </c>
      <c r="H464" s="19"/>
      <c r="I464" s="19"/>
      <c r="J464" s="28"/>
      <c r="K464" s="28"/>
      <c r="L464" s="2"/>
      <c r="M464" s="78"/>
    </row>
    <row r="465" spans="1:13" ht="173.25" customHeight="1" x14ac:dyDescent="0.25">
      <c r="A465" s="16"/>
      <c r="B465" s="15"/>
      <c r="C465" s="73"/>
      <c r="D465" s="25"/>
      <c r="E465" s="78"/>
      <c r="F465" s="24"/>
      <c r="G465" s="24"/>
      <c r="H465" s="19"/>
      <c r="I465" s="19"/>
      <c r="J465" s="28"/>
      <c r="K465" s="28"/>
      <c r="L465" s="2"/>
      <c r="M465" s="78"/>
    </row>
    <row r="466" spans="1:13" ht="41.4" x14ac:dyDescent="0.25">
      <c r="A466" s="10" t="s">
        <v>282</v>
      </c>
      <c r="B466" s="11" t="s">
        <v>10</v>
      </c>
      <c r="C466" s="89" t="s">
        <v>1</v>
      </c>
      <c r="D466" s="11" t="s">
        <v>11</v>
      </c>
      <c r="E466" s="10" t="s">
        <v>12</v>
      </c>
      <c r="F466" s="35" t="s">
        <v>13</v>
      </c>
      <c r="G466" s="35" t="s">
        <v>14</v>
      </c>
      <c r="H466" s="35" t="s">
        <v>15</v>
      </c>
      <c r="I466" s="18" t="s">
        <v>16</v>
      </c>
      <c r="J466" s="18" t="s">
        <v>17</v>
      </c>
      <c r="K466" s="18" t="s">
        <v>18</v>
      </c>
      <c r="L466" s="11" t="s">
        <v>19</v>
      </c>
      <c r="M466" s="10" t="s">
        <v>113</v>
      </c>
    </row>
    <row r="467" spans="1:13" ht="171.9" customHeight="1" x14ac:dyDescent="0.25">
      <c r="A467" s="66" t="s">
        <v>177</v>
      </c>
      <c r="B467" s="216" t="s">
        <v>283</v>
      </c>
      <c r="C467" s="217"/>
      <c r="D467" s="217"/>
      <c r="E467" s="218"/>
      <c r="F467" s="95"/>
      <c r="G467" s="95"/>
      <c r="H467" s="95"/>
      <c r="I467" s="96"/>
      <c r="J467" s="96"/>
      <c r="K467" s="96"/>
      <c r="L467" s="87"/>
      <c r="M467" s="66"/>
    </row>
    <row r="468" spans="1:13" ht="27.6" x14ac:dyDescent="0.25">
      <c r="A468" s="66" t="s">
        <v>22</v>
      </c>
      <c r="B468" s="87"/>
      <c r="C468" s="93">
        <v>3</v>
      </c>
      <c r="D468" s="87"/>
      <c r="E468" s="66" t="s">
        <v>284</v>
      </c>
      <c r="F468" s="95"/>
      <c r="G468" s="95"/>
      <c r="H468" s="95"/>
      <c r="I468" s="96"/>
      <c r="J468" s="96"/>
      <c r="K468" s="96"/>
      <c r="L468" s="87"/>
      <c r="M468" s="66"/>
    </row>
    <row r="469" spans="1:13" ht="41.4" x14ac:dyDescent="0.25">
      <c r="A469" s="66" t="s">
        <v>25</v>
      </c>
      <c r="B469" s="87" t="s">
        <v>115</v>
      </c>
      <c r="C469" s="93">
        <v>156</v>
      </c>
      <c r="D469" s="87"/>
      <c r="E469" s="87" t="s">
        <v>285</v>
      </c>
      <c r="F469" s="95"/>
      <c r="G469" s="95"/>
      <c r="H469" s="95"/>
      <c r="I469" s="96"/>
      <c r="J469" s="96"/>
      <c r="K469" s="96"/>
      <c r="L469" s="87"/>
      <c r="M469" s="87"/>
    </row>
    <row r="470" spans="1:13" x14ac:dyDescent="0.25">
      <c r="A470" s="46" t="s">
        <v>26</v>
      </c>
      <c r="B470" s="15"/>
      <c r="C470" s="73"/>
      <c r="D470" s="34"/>
      <c r="E470" s="78"/>
      <c r="F470" s="24"/>
      <c r="G470" s="24" t="str">
        <f t="shared" ref="G470:G485" si="18">IF($F470="","",IF($F470="Gemessen","sehr gut",IF($F470="Berechnet","gut",IF($F470="Literaturwert","befriedigend",IF($F470="Geschätzt","schlecht",IF($F470="Keine Angabe","nicht erhoben",IF($F470="Datenbank (Gabi) | NUR UMSICHT","GaBi",IF($F470="Datenbank (ecoinvent) | NUR UMSICHT","ecoinvent"))))))))</f>
        <v/>
      </c>
      <c r="H470" s="19"/>
      <c r="I470" s="19"/>
      <c r="J470" s="28"/>
      <c r="K470" s="28"/>
      <c r="L470" s="2"/>
      <c r="M470" s="78"/>
    </row>
    <row r="471" spans="1:13" x14ac:dyDescent="0.25">
      <c r="A471" s="4" t="s">
        <v>80</v>
      </c>
      <c r="B471" s="4" t="s">
        <v>39</v>
      </c>
      <c r="C471" s="73">
        <v>1</v>
      </c>
      <c r="D471" s="34"/>
      <c r="E471" s="78"/>
      <c r="F471" s="24"/>
      <c r="G471" s="24"/>
      <c r="H471" s="19"/>
      <c r="I471" s="19"/>
      <c r="J471" s="28"/>
      <c r="K471" s="28"/>
      <c r="L471" s="2"/>
      <c r="M471" s="78"/>
    </row>
    <row r="472" spans="1:13" ht="29.4" customHeight="1" x14ac:dyDescent="0.25">
      <c r="A472" s="4" t="s">
        <v>130</v>
      </c>
      <c r="B472" s="4" t="s">
        <v>131</v>
      </c>
      <c r="C472" s="23">
        <f>(4/26280000)*156</f>
        <v>2.3744292237442922E-5</v>
      </c>
      <c r="D472" s="145"/>
      <c r="E472" s="78" t="s">
        <v>181</v>
      </c>
      <c r="F472" s="25"/>
      <c r="G472" s="24"/>
      <c r="H472" s="19"/>
      <c r="I472" s="25"/>
      <c r="J472" s="55"/>
      <c r="K472" s="55"/>
      <c r="L472" s="2"/>
      <c r="M472" s="78" t="s">
        <v>133</v>
      </c>
    </row>
    <row r="473" spans="1:13" x14ac:dyDescent="0.25">
      <c r="A473" s="4" t="s">
        <v>134</v>
      </c>
      <c r="B473" s="4" t="s">
        <v>125</v>
      </c>
      <c r="C473" s="23">
        <f>($C$287/1251)*C469</f>
        <v>2.1666666666666667E-2</v>
      </c>
      <c r="D473" s="146"/>
      <c r="E473" s="78" t="s">
        <v>135</v>
      </c>
      <c r="F473" s="25"/>
      <c r="G473" s="24"/>
      <c r="H473" s="19"/>
      <c r="I473" s="25"/>
      <c r="J473" s="55"/>
      <c r="K473" s="55"/>
      <c r="L473" s="2"/>
      <c r="M473" s="78"/>
    </row>
    <row r="474" spans="1:13" ht="27.6" x14ac:dyDescent="0.25">
      <c r="A474" s="4" t="s">
        <v>288</v>
      </c>
      <c r="B474" s="4" t="s">
        <v>33</v>
      </c>
      <c r="C474" s="165">
        <f>Allokationen!E45</f>
        <v>17.89084464855566</v>
      </c>
      <c r="D474" s="78"/>
      <c r="E474" s="78" t="s">
        <v>289</v>
      </c>
      <c r="F474" s="24"/>
      <c r="G474" s="24"/>
      <c r="H474" s="19"/>
      <c r="I474" s="19"/>
      <c r="J474" s="28"/>
      <c r="K474" s="28"/>
      <c r="L474" s="2"/>
      <c r="M474" s="78"/>
    </row>
    <row r="475" spans="1:13" ht="27.6" x14ac:dyDescent="0.25">
      <c r="A475" s="4" t="s">
        <v>290</v>
      </c>
      <c r="B475" s="4" t="s">
        <v>33</v>
      </c>
      <c r="C475" s="165">
        <f>Allokationen!F45</f>
        <v>49.48531498536672</v>
      </c>
      <c r="D475" s="78"/>
      <c r="E475" s="78" t="s">
        <v>289</v>
      </c>
      <c r="F475" s="24"/>
      <c r="G475" s="24"/>
      <c r="H475" s="19"/>
      <c r="I475" s="19"/>
      <c r="J475" s="28"/>
      <c r="K475" s="28"/>
      <c r="L475" s="2"/>
      <c r="M475" s="78"/>
    </row>
    <row r="476" spans="1:13" ht="151.80000000000001" x14ac:dyDescent="0.25">
      <c r="A476" s="4" t="s">
        <v>291</v>
      </c>
      <c r="B476" s="4" t="s">
        <v>188</v>
      </c>
      <c r="C476" s="73">
        <f>16.8*300</f>
        <v>5040</v>
      </c>
      <c r="D476" s="34"/>
      <c r="E476" s="78" t="s">
        <v>292</v>
      </c>
      <c r="F476" s="24"/>
      <c r="G476" s="24"/>
      <c r="H476" s="19"/>
      <c r="I476" s="19"/>
      <c r="J476" s="28"/>
      <c r="K476" s="28"/>
      <c r="L476" s="2"/>
      <c r="M476" s="78" t="s">
        <v>190</v>
      </c>
    </row>
    <row r="477" spans="1:13" ht="41.4" x14ac:dyDescent="0.25">
      <c r="A477" s="4" t="s">
        <v>293</v>
      </c>
      <c r="B477" s="4" t="s">
        <v>144</v>
      </c>
      <c r="C477" s="73">
        <f>((80*1+15*2+3*3+2*4)/100)*15.5</f>
        <v>19.684999999999999</v>
      </c>
      <c r="D477" s="34"/>
      <c r="E477" s="78" t="s">
        <v>294</v>
      </c>
      <c r="F477" s="24"/>
      <c r="G477" s="24"/>
      <c r="H477" s="19"/>
      <c r="I477" s="19"/>
      <c r="J477" s="28"/>
      <c r="K477" s="28"/>
      <c r="L477" s="2"/>
      <c r="M477" s="78"/>
    </row>
    <row r="478" spans="1:13" ht="151.80000000000001" x14ac:dyDescent="0.25">
      <c r="A478" s="4" t="s">
        <v>86</v>
      </c>
      <c r="B478" s="4" t="s">
        <v>295</v>
      </c>
      <c r="C478" s="73">
        <v>300</v>
      </c>
      <c r="D478" s="34"/>
      <c r="E478" s="78" t="s">
        <v>296</v>
      </c>
      <c r="F478" s="24"/>
      <c r="G478" s="24"/>
      <c r="H478" s="19"/>
      <c r="I478" s="19"/>
      <c r="J478" s="28"/>
      <c r="K478" s="28"/>
      <c r="L478" s="2"/>
      <c r="M478" s="78"/>
    </row>
    <row r="479" spans="1:13" ht="44.25" customHeight="1" x14ac:dyDescent="0.25">
      <c r="A479" s="4" t="s">
        <v>297</v>
      </c>
      <c r="B479" s="4" t="s">
        <v>295</v>
      </c>
      <c r="C479" s="73">
        <v>250</v>
      </c>
      <c r="D479" s="34"/>
      <c r="E479" s="78" t="s">
        <v>298</v>
      </c>
      <c r="F479" s="24"/>
      <c r="G479" s="24"/>
      <c r="H479" s="19"/>
      <c r="I479" s="19"/>
      <c r="J479" s="28"/>
      <c r="K479" s="28"/>
      <c r="L479" s="2"/>
      <c r="M479" s="78"/>
    </row>
    <row r="480" spans="1:13" ht="96.6" x14ac:dyDescent="0.25">
      <c r="A480" s="98" t="s">
        <v>299</v>
      </c>
      <c r="B480" s="4" t="s">
        <v>144</v>
      </c>
      <c r="C480" s="73">
        <f>124/10</f>
        <v>12.4</v>
      </c>
      <c r="D480" s="34"/>
      <c r="E480" s="78" t="s">
        <v>300</v>
      </c>
      <c r="F480" s="24"/>
      <c r="G480" s="24"/>
      <c r="H480" s="19"/>
      <c r="I480" s="19"/>
      <c r="J480" s="28"/>
      <c r="K480" s="28"/>
      <c r="L480" s="2"/>
      <c r="M480" s="78" t="s">
        <v>301</v>
      </c>
    </row>
    <row r="481" spans="1:14" ht="41.4" x14ac:dyDescent="0.25">
      <c r="A481" s="2" t="s">
        <v>302</v>
      </c>
      <c r="B481" s="4" t="s">
        <v>219</v>
      </c>
      <c r="C481" s="34">
        <f>1/(8*21*2)*1000</f>
        <v>2.9761904761904758</v>
      </c>
      <c r="D481" s="34"/>
      <c r="E481" s="78" t="s">
        <v>303</v>
      </c>
      <c r="F481" s="24"/>
      <c r="G481" s="24"/>
      <c r="H481" s="19"/>
      <c r="I481" s="19"/>
      <c r="J481" s="28"/>
      <c r="K481" s="28"/>
      <c r="L481" s="2"/>
      <c r="M481" s="78"/>
    </row>
    <row r="482" spans="1:14" ht="27.6" x14ac:dyDescent="0.25">
      <c r="A482" s="2" t="s">
        <v>304</v>
      </c>
      <c r="B482" s="4" t="s">
        <v>219</v>
      </c>
      <c r="C482" s="34">
        <f>1/(8*21*2)*1000</f>
        <v>2.9761904761904758</v>
      </c>
      <c r="D482" s="34"/>
      <c r="E482" s="78"/>
      <c r="F482" s="24"/>
      <c r="G482" s="24"/>
      <c r="H482" s="19"/>
      <c r="I482" s="19"/>
      <c r="J482" s="28"/>
      <c r="K482" s="28"/>
      <c r="L482" s="2"/>
      <c r="M482" s="78" t="s">
        <v>305</v>
      </c>
    </row>
    <row r="483" spans="1:14" x14ac:dyDescent="0.25">
      <c r="A483" s="2"/>
      <c r="B483" s="4"/>
      <c r="C483" s="73"/>
      <c r="D483" s="34"/>
      <c r="E483" s="78"/>
      <c r="F483" s="24"/>
      <c r="G483" s="24"/>
      <c r="H483" s="19"/>
      <c r="I483" s="19"/>
      <c r="J483" s="28"/>
      <c r="K483" s="28"/>
      <c r="L483" s="2"/>
      <c r="M483" s="78"/>
    </row>
    <row r="484" spans="1:14" x14ac:dyDescent="0.25">
      <c r="A484" s="71" t="s">
        <v>35</v>
      </c>
      <c r="B484" s="4"/>
      <c r="C484" s="73"/>
      <c r="D484" s="25"/>
      <c r="E484" s="78"/>
      <c r="F484" s="24"/>
      <c r="G484" s="24"/>
      <c r="H484" s="19"/>
      <c r="I484" s="19"/>
      <c r="J484" s="28"/>
      <c r="K484" s="28"/>
      <c r="L484" s="2"/>
      <c r="M484" s="78"/>
    </row>
    <row r="485" spans="1:14" x14ac:dyDescent="0.25">
      <c r="A485" s="2" t="s">
        <v>93</v>
      </c>
      <c r="B485" s="4" t="s">
        <v>37</v>
      </c>
      <c r="C485" s="73"/>
      <c r="D485" s="25"/>
      <c r="E485" s="78"/>
      <c r="F485" s="24"/>
      <c r="G485" s="24" t="str">
        <f t="shared" si="18"/>
        <v/>
      </c>
      <c r="H485" s="19"/>
      <c r="I485" s="19"/>
      <c r="J485" s="28"/>
      <c r="K485" s="28"/>
      <c r="L485" s="2"/>
      <c r="M485" s="78"/>
    </row>
    <row r="486" spans="1:14" ht="55.2" x14ac:dyDescent="0.25">
      <c r="A486" s="2" t="s">
        <v>306</v>
      </c>
      <c r="B486" s="4" t="s">
        <v>144</v>
      </c>
      <c r="C486" s="73">
        <f>C477</f>
        <v>19.684999999999999</v>
      </c>
      <c r="D486" s="25"/>
      <c r="E486" s="78" t="s">
        <v>307</v>
      </c>
      <c r="F486" s="24"/>
      <c r="G486" s="24"/>
      <c r="H486" s="19"/>
      <c r="I486" s="19"/>
      <c r="J486" s="28"/>
      <c r="K486" s="28"/>
      <c r="L486" s="2"/>
      <c r="M486" s="78" t="s">
        <v>253</v>
      </c>
    </row>
    <row r="487" spans="1:14" ht="55.2" x14ac:dyDescent="0.25">
      <c r="A487" s="2" t="s">
        <v>308</v>
      </c>
      <c r="B487" s="4" t="s">
        <v>144</v>
      </c>
      <c r="C487" s="73">
        <f>C358</f>
        <v>16</v>
      </c>
      <c r="D487" s="25"/>
      <c r="E487" s="78" t="s">
        <v>309</v>
      </c>
      <c r="F487" s="24"/>
      <c r="G487" s="24"/>
      <c r="H487" s="19"/>
      <c r="I487" s="19"/>
      <c r="J487" s="28"/>
      <c r="K487" s="28"/>
      <c r="L487" s="2"/>
      <c r="M487" s="78" t="s">
        <v>253</v>
      </c>
    </row>
    <row r="488" spans="1:14" ht="55.2" x14ac:dyDescent="0.25">
      <c r="A488" s="2" t="s">
        <v>310</v>
      </c>
      <c r="B488" s="3" t="s">
        <v>144</v>
      </c>
      <c r="C488" s="73">
        <f>C357</f>
        <v>3.3668</v>
      </c>
      <c r="D488" s="25"/>
      <c r="E488" s="78" t="s">
        <v>311</v>
      </c>
      <c r="F488" s="24"/>
      <c r="G488" s="24"/>
      <c r="H488" s="19"/>
      <c r="I488" s="19"/>
      <c r="J488" s="28"/>
      <c r="K488" s="28"/>
      <c r="L488" s="2"/>
      <c r="M488" s="78" t="s">
        <v>253</v>
      </c>
    </row>
    <row r="489" spans="1:14" ht="55.2" x14ac:dyDescent="0.25">
      <c r="A489" s="4" t="s">
        <v>312</v>
      </c>
      <c r="B489" s="4" t="s">
        <v>144</v>
      </c>
      <c r="C489" s="23">
        <f>C480</f>
        <v>12.4</v>
      </c>
      <c r="D489" s="34"/>
      <c r="E489" s="78" t="s">
        <v>311</v>
      </c>
      <c r="F489" s="24"/>
      <c r="G489" s="24"/>
      <c r="H489" s="19"/>
      <c r="I489" s="19"/>
      <c r="J489" s="28"/>
      <c r="K489" s="28"/>
      <c r="L489" s="2"/>
      <c r="M489" s="78" t="s">
        <v>253</v>
      </c>
    </row>
    <row r="490" spans="1:14" ht="301.5" customHeight="1" thickBot="1" x14ac:dyDescent="0.3">
      <c r="A490" s="98" t="s">
        <v>255</v>
      </c>
      <c r="B490" s="4" t="s">
        <v>156</v>
      </c>
      <c r="C490" s="23">
        <f>0.1* (((C478/1.028)/1000)*850+((C479/0.982)/1000)*650)</f>
        <v>41.353308977945431</v>
      </c>
      <c r="D490" s="34"/>
      <c r="E490" s="174" t="s">
        <v>313</v>
      </c>
      <c r="F490" s="175" t="s">
        <v>257</v>
      </c>
      <c r="G490" s="24"/>
      <c r="H490" s="23"/>
      <c r="I490" s="23"/>
      <c r="J490" s="176"/>
      <c r="K490" s="176"/>
      <c r="L490" s="113"/>
      <c r="M490" s="78"/>
      <c r="N490" s="177" t="s">
        <v>258</v>
      </c>
    </row>
    <row r="491" spans="1:14" x14ac:dyDescent="0.25">
      <c r="A491" s="2"/>
      <c r="B491" s="3"/>
      <c r="C491" s="73"/>
      <c r="D491" s="25"/>
      <c r="E491" s="78"/>
      <c r="F491" s="24"/>
      <c r="G491" s="24"/>
      <c r="H491" s="19"/>
      <c r="I491" s="19"/>
      <c r="J491" s="28"/>
      <c r="K491" s="28"/>
      <c r="L491" s="2"/>
      <c r="M491" s="78"/>
    </row>
    <row r="492" spans="1:14" x14ac:dyDescent="0.25">
      <c r="A492" s="71" t="s">
        <v>259</v>
      </c>
      <c r="B492" s="3"/>
      <c r="C492" s="73"/>
      <c r="D492" s="25"/>
      <c r="E492" s="78"/>
      <c r="F492" s="24"/>
      <c r="G492" s="24"/>
      <c r="H492" s="19"/>
      <c r="I492" s="19"/>
      <c r="J492" s="28"/>
      <c r="K492" s="28"/>
      <c r="L492" s="2"/>
      <c r="M492" s="78"/>
    </row>
    <row r="493" spans="1:14" x14ac:dyDescent="0.25">
      <c r="A493" s="2" t="s">
        <v>314</v>
      </c>
      <c r="B493" s="3"/>
      <c r="C493" s="73"/>
      <c r="D493" s="25"/>
      <c r="E493" s="78"/>
      <c r="F493" s="24"/>
      <c r="G493" s="24"/>
      <c r="H493" s="19"/>
      <c r="I493" s="19"/>
      <c r="J493" s="28"/>
      <c r="K493" s="28"/>
      <c r="L493" s="2"/>
      <c r="M493" s="78"/>
    </row>
    <row r="494" spans="1:14" x14ac:dyDescent="0.25">
      <c r="A494" s="2" t="s">
        <v>315</v>
      </c>
      <c r="B494" s="3"/>
      <c r="C494" s="73"/>
      <c r="D494" s="25"/>
      <c r="E494" s="78"/>
      <c r="F494" s="24"/>
      <c r="G494" s="24"/>
      <c r="H494" s="19"/>
      <c r="I494" s="19"/>
      <c r="J494" s="28"/>
      <c r="K494" s="28"/>
      <c r="L494" s="2"/>
      <c r="M494" s="78"/>
    </row>
    <row r="495" spans="1:14" x14ac:dyDescent="0.25">
      <c r="A495" s="2" t="s">
        <v>316</v>
      </c>
      <c r="B495" s="3"/>
      <c r="C495" s="73"/>
      <c r="D495" s="25"/>
      <c r="E495" s="78"/>
      <c r="F495" s="24"/>
      <c r="G495" s="24"/>
      <c r="H495" s="19"/>
      <c r="I495" s="19"/>
      <c r="J495" s="28"/>
      <c r="K495" s="28"/>
      <c r="L495" s="2"/>
      <c r="M495" s="78"/>
    </row>
    <row r="496" spans="1:14" s="6" customFormat="1" x14ac:dyDescent="0.25">
      <c r="A496" s="2" t="s">
        <v>317</v>
      </c>
      <c r="B496" s="3"/>
      <c r="C496" s="73"/>
      <c r="D496" s="25"/>
      <c r="E496" s="78"/>
      <c r="F496" s="24"/>
      <c r="G496" s="24"/>
      <c r="H496" s="19"/>
      <c r="I496" s="19"/>
      <c r="J496" s="28"/>
      <c r="K496" s="28"/>
      <c r="L496" s="2"/>
      <c r="M496" s="78"/>
      <c r="N496" s="1"/>
    </row>
    <row r="497" spans="1:14" s="6" customFormat="1" ht="41.4" x14ac:dyDescent="0.25">
      <c r="A497" s="70" t="s">
        <v>318</v>
      </c>
      <c r="B497" s="4"/>
      <c r="C497" s="73"/>
      <c r="D497" s="25"/>
      <c r="E497" s="78" t="s">
        <v>319</v>
      </c>
      <c r="F497" s="24"/>
      <c r="G497" s="24"/>
      <c r="H497" s="19"/>
      <c r="I497" s="19"/>
      <c r="J497" s="14"/>
      <c r="K497" s="14"/>
      <c r="L497" s="2"/>
      <c r="M497" s="78"/>
      <c r="N497" s="1"/>
    </row>
    <row r="498" spans="1:14" s="6" customFormat="1" x14ac:dyDescent="0.25">
      <c r="A498" s="4" t="s">
        <v>320</v>
      </c>
      <c r="B498" s="3"/>
      <c r="C498" s="73"/>
      <c r="D498" s="33"/>
      <c r="E498" s="78"/>
      <c r="F498" s="24"/>
      <c r="G498" s="24"/>
      <c r="H498" s="19"/>
      <c r="I498" s="19"/>
      <c r="J498" s="49"/>
      <c r="K498" s="49"/>
      <c r="L498" s="2"/>
      <c r="M498" s="78"/>
    </row>
    <row r="499" spans="1:14" s="6" customFormat="1" x14ac:dyDescent="0.25">
      <c r="A499" s="4"/>
      <c r="B499" s="3"/>
      <c r="C499" s="73"/>
      <c r="D499" s="33"/>
      <c r="E499" s="78"/>
      <c r="F499" s="24"/>
      <c r="G499" s="24"/>
      <c r="H499" s="19"/>
      <c r="I499" s="19"/>
      <c r="J499" s="49"/>
      <c r="K499" s="49"/>
      <c r="L499" s="2"/>
      <c r="M499" s="78"/>
    </row>
    <row r="500" spans="1:14" s="6" customFormat="1" x14ac:dyDescent="0.25">
      <c r="A500" s="4"/>
      <c r="B500" s="3"/>
      <c r="C500" s="73"/>
      <c r="D500" s="33"/>
      <c r="E500" s="78"/>
      <c r="F500" s="24"/>
      <c r="G500" s="24"/>
      <c r="H500" s="19"/>
      <c r="I500" s="19"/>
      <c r="J500" s="49"/>
      <c r="K500" s="49"/>
      <c r="L500" s="2"/>
      <c r="M500" s="78"/>
    </row>
    <row r="501" spans="1:14" s="6" customFormat="1" x14ac:dyDescent="0.25">
      <c r="A501" s="4"/>
      <c r="B501" s="3"/>
      <c r="C501" s="73"/>
      <c r="D501" s="33"/>
      <c r="E501" s="78"/>
      <c r="F501" s="24"/>
      <c r="G501" s="24"/>
      <c r="H501" s="19"/>
      <c r="I501" s="19"/>
      <c r="J501" s="49"/>
      <c r="K501" s="49"/>
      <c r="L501" s="2"/>
      <c r="M501" s="78"/>
    </row>
    <row r="502" spans="1:14" s="6" customFormat="1" x14ac:dyDescent="0.25">
      <c r="A502" s="4"/>
      <c r="B502" s="3"/>
      <c r="C502" s="73"/>
      <c r="D502" s="33"/>
      <c r="E502" s="78"/>
      <c r="F502" s="24"/>
      <c r="G502" s="24"/>
      <c r="H502" s="19"/>
      <c r="I502" s="19"/>
      <c r="J502" s="49"/>
      <c r="K502" s="49"/>
      <c r="L502" s="2"/>
      <c r="M502" s="78"/>
    </row>
    <row r="503" spans="1:14" x14ac:dyDescent="0.25">
      <c r="A503" s="4"/>
      <c r="B503" s="3"/>
      <c r="C503" s="73"/>
      <c r="D503" s="33"/>
      <c r="E503" s="78"/>
      <c r="F503" s="24"/>
      <c r="G503" s="24"/>
      <c r="H503" s="19"/>
      <c r="I503" s="19"/>
      <c r="J503" s="49"/>
      <c r="K503" s="49"/>
      <c r="L503" s="2"/>
      <c r="M503" s="78"/>
      <c r="N503" s="6"/>
    </row>
    <row r="504" spans="1:14" x14ac:dyDescent="0.25">
      <c r="A504" s="4"/>
      <c r="B504" s="3"/>
      <c r="C504" s="73"/>
      <c r="D504" s="33"/>
      <c r="E504" s="78"/>
      <c r="F504" s="24"/>
      <c r="G504" s="24"/>
      <c r="H504" s="19"/>
      <c r="I504" s="19"/>
      <c r="J504" s="49"/>
      <c r="K504" s="49"/>
      <c r="L504" s="2"/>
      <c r="M504" s="78"/>
      <c r="N504" s="6"/>
    </row>
    <row r="505" spans="1:14" x14ac:dyDescent="0.25">
      <c r="A505" s="16"/>
      <c r="B505" s="15"/>
      <c r="C505" s="73"/>
      <c r="D505" s="25"/>
      <c r="E505" s="78"/>
      <c r="F505" s="24"/>
      <c r="G505" s="24" t="str">
        <f t="shared" ref="G505" si="19">IF($F505="","",IF($F505="Gemessen","sehr gut",IF($F505="Berechnet","gut",IF($F505="Literaturwert","befriedigend",IF($F505="Geschätzt","schlecht",IF($F505="Keine Angabe","nicht erhoben",IF($F505="Datenbank (Gabi) | NUR UMSICHT","GaBi",IF($F505="Datenbank (ecoinvent) | NUR UMSICHT","ecoinvent"))))))))</f>
        <v/>
      </c>
      <c r="H505" s="19"/>
      <c r="I505" s="19"/>
      <c r="J505" s="28"/>
      <c r="K505" s="28"/>
      <c r="L505" s="2"/>
      <c r="M505" s="78"/>
    </row>
    <row r="506" spans="1:14" s="86" customFormat="1" x14ac:dyDescent="0.25">
      <c r="A506" s="16"/>
      <c r="B506" s="3"/>
      <c r="C506" s="73"/>
      <c r="D506" s="25"/>
      <c r="E506" s="78"/>
      <c r="F506" s="24"/>
      <c r="G506" s="24"/>
      <c r="H506" s="19"/>
      <c r="I506" s="19"/>
      <c r="J506" s="28"/>
      <c r="K506" s="28"/>
      <c r="L506" s="2"/>
      <c r="M506" s="78"/>
      <c r="N506" s="1"/>
    </row>
    <row r="507" spans="1:14" s="86" customFormat="1" ht="41.4" x14ac:dyDescent="0.25">
      <c r="A507" s="10" t="s">
        <v>321</v>
      </c>
      <c r="B507" s="11" t="s">
        <v>10</v>
      </c>
      <c r="C507" s="89" t="s">
        <v>1</v>
      </c>
      <c r="D507" s="11" t="s">
        <v>11</v>
      </c>
      <c r="E507" s="10" t="s">
        <v>12</v>
      </c>
      <c r="F507" s="35" t="s">
        <v>13</v>
      </c>
      <c r="G507" s="35" t="s">
        <v>14</v>
      </c>
      <c r="H507" s="35" t="s">
        <v>15</v>
      </c>
      <c r="I507" s="18" t="s">
        <v>16</v>
      </c>
      <c r="J507" s="18" t="s">
        <v>17</v>
      </c>
      <c r="K507" s="18" t="s">
        <v>18</v>
      </c>
      <c r="L507" s="11" t="s">
        <v>19</v>
      </c>
      <c r="M507" s="10" t="s">
        <v>113</v>
      </c>
      <c r="N507" s="1"/>
    </row>
    <row r="508" spans="1:14" s="86" customFormat="1" x14ac:dyDescent="0.25">
      <c r="A508" s="66" t="s">
        <v>322</v>
      </c>
      <c r="B508" s="216" t="s">
        <v>323</v>
      </c>
      <c r="C508" s="217"/>
      <c r="D508" s="217"/>
      <c r="E508" s="218"/>
      <c r="F508" s="95"/>
      <c r="G508" s="95"/>
      <c r="H508" s="95"/>
      <c r="I508" s="96"/>
      <c r="J508" s="96"/>
      <c r="K508" s="96"/>
      <c r="L508" s="87"/>
      <c r="M508" s="66"/>
      <c r="N508" s="1"/>
    </row>
    <row r="509" spans="1:14" x14ac:dyDescent="0.25">
      <c r="A509" s="66" t="s">
        <v>22</v>
      </c>
      <c r="B509" s="87"/>
      <c r="C509" s="93">
        <v>1</v>
      </c>
      <c r="D509" s="87"/>
      <c r="E509" s="66"/>
      <c r="F509" s="95"/>
      <c r="G509" s="95"/>
      <c r="H509" s="95"/>
      <c r="I509" s="96"/>
      <c r="J509" s="96"/>
      <c r="K509" s="96"/>
      <c r="L509" s="87"/>
      <c r="M509" s="66"/>
    </row>
    <row r="510" spans="1:14" x14ac:dyDescent="0.25">
      <c r="A510" s="66" t="s">
        <v>25</v>
      </c>
      <c r="B510" s="87" t="s">
        <v>115</v>
      </c>
      <c r="C510" s="93">
        <v>30</v>
      </c>
      <c r="D510" s="87"/>
      <c r="E510" s="66" t="s">
        <v>324</v>
      </c>
      <c r="F510" s="95"/>
      <c r="G510" s="95"/>
      <c r="H510" s="95"/>
      <c r="I510" s="96"/>
      <c r="J510" s="96"/>
      <c r="K510" s="96"/>
      <c r="L510" s="87"/>
      <c r="M510" s="66"/>
    </row>
    <row r="511" spans="1:14" x14ac:dyDescent="0.25">
      <c r="A511" s="46" t="s">
        <v>26</v>
      </c>
      <c r="B511" s="15"/>
      <c r="C511" s="73"/>
      <c r="D511" s="34"/>
      <c r="E511" s="78"/>
      <c r="F511" s="24"/>
      <c r="G511" s="24" t="str">
        <f t="shared" ref="G511" si="20">IF($F511="","",IF($F511="Gemessen","sehr gut",IF($F511="Berechnet","gut",IF($F511="Literaturwert","befriedigend",IF($F511="Geschätzt","schlecht",IF($F511="Keine Angabe","nicht erhoben",IF($F511="Datenbank (Gabi) | NUR UMSICHT","GaBi",IF($F511="Datenbank (ecoinvent) | NUR UMSICHT","ecoinvent"))))))))</f>
        <v/>
      </c>
      <c r="H511" s="19"/>
      <c r="I511" s="19"/>
      <c r="J511" s="28"/>
      <c r="K511" s="28"/>
      <c r="L511" s="2"/>
      <c r="M511" s="78"/>
    </row>
    <row r="512" spans="1:14" x14ac:dyDescent="0.25">
      <c r="A512" s="2" t="s">
        <v>47</v>
      </c>
      <c r="B512" s="4" t="s">
        <v>39</v>
      </c>
      <c r="C512" s="73">
        <v>1</v>
      </c>
      <c r="D512" s="34"/>
      <c r="E512" s="78"/>
      <c r="F512" s="24"/>
      <c r="G512" s="24"/>
      <c r="H512" s="19"/>
      <c r="I512" s="19"/>
      <c r="J512" s="28"/>
      <c r="K512" s="28"/>
      <c r="L512" s="2"/>
      <c r="M512" s="78"/>
    </row>
    <row r="513" spans="1:14" x14ac:dyDescent="0.25">
      <c r="A513" s="4" t="s">
        <v>103</v>
      </c>
      <c r="B513" s="4" t="s">
        <v>39</v>
      </c>
      <c r="C513" s="73">
        <v>1</v>
      </c>
      <c r="D513" s="34"/>
      <c r="E513" s="78"/>
      <c r="F513" s="24"/>
      <c r="G513" s="24"/>
      <c r="H513" s="19"/>
      <c r="I513" s="19"/>
      <c r="J513" s="28"/>
      <c r="K513" s="28"/>
      <c r="L513" s="2"/>
      <c r="M513" s="78"/>
    </row>
    <row r="514" spans="1:14" ht="29.4" x14ac:dyDescent="0.25">
      <c r="A514" s="4" t="s">
        <v>130</v>
      </c>
      <c r="B514" s="4" t="s">
        <v>131</v>
      </c>
      <c r="C514" s="23">
        <f>(20/26280000)*30</f>
        <v>2.2831050228310503E-5</v>
      </c>
      <c r="D514" s="145"/>
      <c r="E514" s="78" t="s">
        <v>325</v>
      </c>
      <c r="F514" s="25"/>
      <c r="G514" s="24"/>
      <c r="H514" s="19"/>
      <c r="I514" s="25"/>
      <c r="J514" s="55"/>
      <c r="K514" s="55"/>
      <c r="L514" s="2"/>
      <c r="M514" s="78"/>
    </row>
    <row r="515" spans="1:14" x14ac:dyDescent="0.25">
      <c r="A515" s="4" t="s">
        <v>134</v>
      </c>
      <c r="B515" s="4" t="s">
        <v>125</v>
      </c>
      <c r="C515" s="23">
        <f>($C$287/1251)*C510</f>
        <v>4.1666666666666666E-3</v>
      </c>
      <c r="D515" s="146"/>
      <c r="E515" s="78" t="s">
        <v>135</v>
      </c>
      <c r="F515" s="25"/>
      <c r="G515" s="24"/>
      <c r="H515" s="19"/>
      <c r="I515" s="25"/>
      <c r="J515" s="55"/>
      <c r="K515" s="55"/>
      <c r="L515" s="2"/>
      <c r="M515" s="78"/>
    </row>
    <row r="516" spans="1:14" ht="27.6" x14ac:dyDescent="0.25">
      <c r="A516" s="2" t="s">
        <v>136</v>
      </c>
      <c r="B516" s="4" t="s">
        <v>33</v>
      </c>
      <c r="C516" s="165">
        <f>Allokationen!E46</f>
        <v>2.9964474939362336</v>
      </c>
      <c r="D516" s="168"/>
      <c r="E516" s="78" t="s">
        <v>137</v>
      </c>
      <c r="F516" s="24"/>
      <c r="G516" s="24"/>
      <c r="H516" s="19"/>
      <c r="I516" s="19"/>
      <c r="J516" s="14"/>
      <c r="K516" s="14"/>
      <c r="L516" s="2"/>
      <c r="M516" s="78"/>
    </row>
    <row r="517" spans="1:14" s="6" customFormat="1" ht="27.6" x14ac:dyDescent="0.25">
      <c r="A517" s="70" t="s">
        <v>138</v>
      </c>
      <c r="B517" s="4" t="s">
        <v>33</v>
      </c>
      <c r="C517" s="165">
        <f>Allokationen!F46</f>
        <v>8.2880462598236253</v>
      </c>
      <c r="D517" s="168"/>
      <c r="E517" s="78" t="s">
        <v>137</v>
      </c>
      <c r="F517" s="24"/>
      <c r="G517" s="24"/>
      <c r="H517" s="19"/>
      <c r="I517" s="19"/>
      <c r="J517" s="14"/>
      <c r="K517" s="14"/>
      <c r="L517" s="2"/>
      <c r="M517" s="78"/>
      <c r="N517" s="1"/>
    </row>
    <row r="518" spans="1:14" ht="41.4" x14ac:dyDescent="0.25">
      <c r="A518" s="70" t="s">
        <v>78</v>
      </c>
      <c r="B518" s="4" t="s">
        <v>33</v>
      </c>
      <c r="C518" s="73"/>
      <c r="D518" s="25"/>
      <c r="E518" s="78" t="s">
        <v>326</v>
      </c>
      <c r="F518" s="24"/>
      <c r="G518" s="24"/>
      <c r="H518" s="19"/>
      <c r="I518" s="19"/>
      <c r="J518" s="14"/>
      <c r="K518" s="14"/>
      <c r="L518" s="2"/>
      <c r="M518" s="78"/>
    </row>
    <row r="519" spans="1:14" ht="55.2" x14ac:dyDescent="0.25">
      <c r="A519" s="4" t="s">
        <v>140</v>
      </c>
      <c r="B519" s="3" t="s">
        <v>141</v>
      </c>
      <c r="C519" s="73">
        <f>30/2100</f>
        <v>1.4285714285714285E-2</v>
      </c>
      <c r="D519" s="33"/>
      <c r="E519" s="78" t="s">
        <v>327</v>
      </c>
      <c r="F519" s="24"/>
      <c r="G519" s="24"/>
      <c r="H519" s="19"/>
      <c r="I519" s="19"/>
      <c r="J519" s="49"/>
      <c r="K519" s="49"/>
      <c r="L519" s="2"/>
      <c r="M519" s="78"/>
      <c r="N519" s="6"/>
    </row>
    <row r="520" spans="1:14" ht="69" x14ac:dyDescent="0.25">
      <c r="A520" s="2" t="s">
        <v>151</v>
      </c>
      <c r="B520" s="15" t="s">
        <v>144</v>
      </c>
      <c r="C520" s="23">
        <f>2*(770*0.00526316)</f>
        <v>8.1052663999999996</v>
      </c>
      <c r="D520" s="33"/>
      <c r="E520" s="78" t="s">
        <v>152</v>
      </c>
      <c r="F520" s="24"/>
      <c r="G520" s="24" t="str">
        <f t="shared" ref="G520" si="21">IF($F520="","",IF($F520="Gemessen","sehr gut",IF($F520="Berechnet","gut",IF($F520="Literaturwert","befriedigend",IF($F520="Geschätzt","schlecht",IF($F520="Keine Angabe","nicht erhoben",IF($F520="Datenbank (Gabi) | NUR UMSICHT","GaBi",IF($F520="Datenbank (ecoinvent) | NUR UMSICHT","ecoinvent"))))))))</f>
        <v/>
      </c>
      <c r="H520" s="19"/>
      <c r="I520" s="19"/>
      <c r="J520" s="28"/>
      <c r="K520" s="28"/>
      <c r="L520" s="2"/>
      <c r="M520" s="78" t="s">
        <v>153</v>
      </c>
    </row>
    <row r="521" spans="1:14" x14ac:dyDescent="0.25">
      <c r="A521" s="2"/>
      <c r="B521" s="15"/>
      <c r="C521" s="73"/>
      <c r="D521" s="25"/>
      <c r="E521" s="78"/>
      <c r="F521" s="24"/>
      <c r="G521" s="24" t="str">
        <f t="shared" ref="G521" si="22">IF($F521="","",IF($F521="Gemessen","sehr gut",IF($F521="Berechnet","gut",IF($F521="Literaturwert","befriedigend",IF($F521="Geschätzt","schlecht",IF($F521="Keine Angabe","nicht erhoben",IF($F521="Datenbank (Gabi) | NUR UMSICHT","GaBi",IF($F521="Datenbank (ecoinvent) | NUR UMSICHT","ecoinvent"))))))))</f>
        <v/>
      </c>
      <c r="H521" s="19"/>
      <c r="I521" s="19"/>
      <c r="J521" s="28"/>
      <c r="K521" s="28"/>
      <c r="L521" s="2"/>
      <c r="M521" s="78"/>
    </row>
    <row r="522" spans="1:14" x14ac:dyDescent="0.25">
      <c r="A522" s="71" t="s">
        <v>35</v>
      </c>
      <c r="B522" s="4"/>
      <c r="C522" s="73"/>
      <c r="D522" s="25"/>
      <c r="E522" s="78"/>
      <c r="F522" s="24"/>
      <c r="G522" s="24"/>
      <c r="H522" s="19"/>
      <c r="I522" s="19"/>
      <c r="J522" s="28"/>
      <c r="K522" s="28"/>
      <c r="L522" s="2"/>
      <c r="M522" s="78"/>
    </row>
    <row r="523" spans="1:14" x14ac:dyDescent="0.25">
      <c r="A523" s="2" t="s">
        <v>108</v>
      </c>
      <c r="B523" s="4" t="s">
        <v>37</v>
      </c>
      <c r="C523" s="73">
        <v>1</v>
      </c>
      <c r="D523" s="25"/>
      <c r="E523" s="78"/>
      <c r="F523" s="24"/>
      <c r="G523" s="24"/>
      <c r="H523" s="19"/>
      <c r="I523" s="19"/>
      <c r="J523" s="28"/>
      <c r="K523" s="28"/>
      <c r="L523" s="2"/>
      <c r="M523" s="78"/>
    </row>
    <row r="524" spans="1:14" ht="29.4" customHeight="1" x14ac:dyDescent="0.25">
      <c r="A524" s="70" t="s">
        <v>162</v>
      </c>
      <c r="B524" s="4" t="s">
        <v>144</v>
      </c>
      <c r="C524" s="73">
        <f>C519*200</f>
        <v>2.8571428571428572</v>
      </c>
      <c r="D524" s="25"/>
      <c r="E524" s="78"/>
      <c r="F524" s="24"/>
      <c r="G524" s="24"/>
      <c r="H524" s="19"/>
      <c r="I524" s="19"/>
      <c r="J524" s="14"/>
      <c r="K524" s="14"/>
      <c r="L524" s="2"/>
      <c r="M524" s="78" t="s">
        <v>163</v>
      </c>
    </row>
    <row r="525" spans="1:14" ht="41.4" x14ac:dyDescent="0.25">
      <c r="A525" s="2" t="s">
        <v>160</v>
      </c>
      <c r="B525" s="3" t="s">
        <v>144</v>
      </c>
      <c r="C525" s="73">
        <f>C520</f>
        <v>8.1052663999999996</v>
      </c>
      <c r="D525" s="25"/>
      <c r="E525" s="78"/>
      <c r="F525" s="24"/>
      <c r="G525" s="24"/>
      <c r="H525" s="23"/>
      <c r="I525" s="23"/>
      <c r="J525" s="28"/>
      <c r="K525" s="28"/>
      <c r="L525" s="2"/>
      <c r="M525" s="78" t="s">
        <v>161</v>
      </c>
    </row>
    <row r="526" spans="1:14" s="6" customFormat="1" x14ac:dyDescent="0.25">
      <c r="A526" s="2"/>
      <c r="B526" s="3"/>
      <c r="C526" s="73"/>
      <c r="D526" s="25"/>
      <c r="E526" s="78"/>
      <c r="F526" s="24"/>
      <c r="G526" s="24"/>
      <c r="H526" s="23"/>
      <c r="I526" s="23"/>
      <c r="J526" s="28"/>
      <c r="K526" s="28"/>
      <c r="L526" s="2"/>
      <c r="M526" s="78"/>
      <c r="N526" s="1"/>
    </row>
    <row r="527" spans="1:14" s="6" customFormat="1" x14ac:dyDescent="0.25">
      <c r="A527" s="46" t="s">
        <v>164</v>
      </c>
      <c r="B527" s="3"/>
      <c r="C527" s="73"/>
      <c r="D527" s="33"/>
      <c r="E527" s="78"/>
      <c r="F527" s="24"/>
      <c r="G527" s="24"/>
      <c r="H527" s="19"/>
      <c r="I527" s="19"/>
      <c r="J527" s="49"/>
      <c r="K527" s="49"/>
      <c r="L527" s="2"/>
      <c r="M527" s="78"/>
    </row>
    <row r="528" spans="1:14" s="6" customFormat="1" x14ac:dyDescent="0.25">
      <c r="A528" s="70" t="s">
        <v>165</v>
      </c>
      <c r="B528" s="3"/>
      <c r="C528" s="73"/>
      <c r="D528" s="33"/>
      <c r="E528" s="78"/>
      <c r="F528" s="24"/>
      <c r="G528" s="24"/>
      <c r="H528" s="19"/>
      <c r="I528" s="19"/>
      <c r="J528" s="49"/>
      <c r="K528" s="49"/>
      <c r="L528" s="2"/>
      <c r="M528" s="78"/>
    </row>
    <row r="529" spans="1:14" s="6" customFormat="1" x14ac:dyDescent="0.25">
      <c r="A529" s="4" t="s">
        <v>166</v>
      </c>
      <c r="B529" s="3"/>
      <c r="C529" s="73"/>
      <c r="D529" s="33"/>
      <c r="E529" s="78" t="s">
        <v>167</v>
      </c>
      <c r="F529" s="24"/>
      <c r="G529" s="24"/>
      <c r="H529" s="19"/>
      <c r="I529" s="19"/>
      <c r="J529" s="49"/>
      <c r="K529" s="49"/>
      <c r="L529" s="2"/>
      <c r="M529" s="78"/>
    </row>
    <row r="530" spans="1:14" s="6" customFormat="1" x14ac:dyDescent="0.25">
      <c r="A530" s="4" t="s">
        <v>168</v>
      </c>
      <c r="B530" s="3"/>
      <c r="C530" s="73"/>
      <c r="D530" s="33"/>
      <c r="E530" s="78" t="s">
        <v>169</v>
      </c>
      <c r="F530" s="24"/>
      <c r="G530" s="24"/>
      <c r="H530" s="19"/>
      <c r="I530" s="19"/>
      <c r="J530" s="49"/>
      <c r="K530" s="49"/>
      <c r="L530" s="2"/>
      <c r="M530" s="78"/>
    </row>
    <row r="531" spans="1:14" s="6" customFormat="1" x14ac:dyDescent="0.25">
      <c r="A531" s="4" t="s">
        <v>170</v>
      </c>
      <c r="B531" s="3"/>
      <c r="C531" s="73"/>
      <c r="D531" s="33"/>
      <c r="E531" s="78"/>
      <c r="F531" s="24"/>
      <c r="G531" s="24"/>
      <c r="H531" s="19"/>
      <c r="I531" s="19"/>
      <c r="J531" s="49"/>
      <c r="K531" s="49"/>
      <c r="L531" s="2"/>
      <c r="M531" s="78"/>
    </row>
    <row r="532" spans="1:14" s="6" customFormat="1" x14ac:dyDescent="0.25">
      <c r="A532" s="4" t="s">
        <v>171</v>
      </c>
      <c r="B532" s="3"/>
      <c r="C532" s="73"/>
      <c r="D532" s="33"/>
      <c r="E532" s="78" t="s">
        <v>172</v>
      </c>
      <c r="F532" s="24"/>
      <c r="G532" s="24"/>
      <c r="H532" s="19"/>
      <c r="I532" s="19"/>
      <c r="J532" s="49"/>
      <c r="K532" s="49"/>
      <c r="L532" s="2"/>
      <c r="M532" s="78"/>
    </row>
    <row r="533" spans="1:14" x14ac:dyDescent="0.25">
      <c r="A533" s="4" t="s">
        <v>173</v>
      </c>
      <c r="B533" s="3"/>
      <c r="C533" s="73"/>
      <c r="D533" s="33"/>
      <c r="E533" s="78" t="s">
        <v>172</v>
      </c>
      <c r="F533" s="24"/>
      <c r="G533" s="24"/>
      <c r="H533" s="19"/>
      <c r="I533" s="19"/>
      <c r="J533" s="49"/>
      <c r="K533" s="49"/>
      <c r="L533" s="2"/>
      <c r="M533" s="78"/>
      <c r="N533" s="6"/>
    </row>
    <row r="534" spans="1:14" x14ac:dyDescent="0.25">
      <c r="A534" s="4" t="s">
        <v>174</v>
      </c>
      <c r="B534" s="3"/>
      <c r="C534" s="73"/>
      <c r="D534" s="33"/>
      <c r="E534" s="78" t="s">
        <v>175</v>
      </c>
      <c r="F534" s="24"/>
      <c r="G534" s="24"/>
      <c r="H534" s="19"/>
      <c r="I534" s="19"/>
      <c r="J534" s="49"/>
      <c r="K534" s="49"/>
      <c r="L534" s="2"/>
      <c r="M534" s="78"/>
      <c r="N534" s="6"/>
    </row>
    <row r="535" spans="1:14" x14ac:dyDescent="0.25">
      <c r="A535" s="2"/>
      <c r="B535" s="3"/>
      <c r="C535" s="73"/>
      <c r="D535" s="25"/>
      <c r="E535" s="78"/>
      <c r="F535" s="24"/>
      <c r="G535" s="24"/>
      <c r="H535" s="23"/>
      <c r="I535" s="23"/>
      <c r="J535" s="28"/>
      <c r="K535" s="28"/>
      <c r="L535" s="2"/>
      <c r="M535" s="78"/>
    </row>
    <row r="536" spans="1:14" s="6" customFormat="1" x14ac:dyDescent="0.25">
      <c r="A536" s="2"/>
      <c r="B536" s="3"/>
      <c r="C536" s="73"/>
      <c r="D536" s="25"/>
      <c r="E536" s="78"/>
      <c r="F536" s="24"/>
      <c r="G536" s="24"/>
      <c r="H536" s="23"/>
      <c r="I536" s="23"/>
      <c r="J536" s="28"/>
      <c r="K536" s="28"/>
      <c r="L536" s="2"/>
      <c r="M536" s="78"/>
      <c r="N536" s="1"/>
    </row>
    <row r="537" spans="1:14" s="6" customFormat="1" x14ac:dyDescent="0.25">
      <c r="A537" s="70"/>
      <c r="B537" s="4"/>
      <c r="C537" s="73"/>
      <c r="D537" s="25"/>
      <c r="E537" s="78"/>
      <c r="F537" s="24"/>
      <c r="G537" s="24"/>
      <c r="H537" s="19"/>
      <c r="I537" s="19"/>
      <c r="J537" s="14"/>
      <c r="K537" s="14"/>
      <c r="L537" s="2"/>
      <c r="M537" s="78"/>
      <c r="N537" s="1"/>
    </row>
    <row r="538" spans="1:14" s="6" customFormat="1" x14ac:dyDescent="0.25">
      <c r="A538" s="4"/>
      <c r="B538" s="3"/>
      <c r="C538" s="73"/>
      <c r="D538" s="33"/>
      <c r="E538" s="78"/>
      <c r="F538" s="24"/>
      <c r="G538" s="24"/>
      <c r="H538" s="19"/>
      <c r="I538" s="19"/>
      <c r="J538" s="49"/>
      <c r="K538" s="49"/>
      <c r="L538" s="2"/>
      <c r="M538" s="78"/>
    </row>
    <row r="539" spans="1:14" s="6" customFormat="1" x14ac:dyDescent="0.25">
      <c r="A539" s="4"/>
      <c r="B539" s="3"/>
      <c r="C539" s="73"/>
      <c r="D539" s="33"/>
      <c r="E539" s="78"/>
      <c r="F539" s="24"/>
      <c r="G539" s="24"/>
      <c r="H539" s="19"/>
      <c r="I539" s="19"/>
      <c r="J539" s="49"/>
      <c r="K539" s="49"/>
      <c r="L539" s="2"/>
      <c r="M539" s="78"/>
    </row>
    <row r="540" spans="1:14" s="6" customFormat="1" x14ac:dyDescent="0.25">
      <c r="A540" s="4"/>
      <c r="B540" s="3"/>
      <c r="C540" s="73"/>
      <c r="D540" s="33"/>
      <c r="E540" s="78"/>
      <c r="F540" s="24"/>
      <c r="G540" s="24"/>
      <c r="H540" s="19"/>
      <c r="I540" s="19"/>
      <c r="J540" s="49"/>
      <c r="K540" s="49"/>
      <c r="L540" s="2"/>
      <c r="M540" s="78"/>
    </row>
    <row r="541" spans="1:14" s="6" customFormat="1" x14ac:dyDescent="0.25">
      <c r="A541" s="4"/>
      <c r="B541" s="3"/>
      <c r="C541" s="73"/>
      <c r="D541" s="33"/>
      <c r="E541" s="78"/>
      <c r="F541" s="24"/>
      <c r="G541" s="24"/>
      <c r="H541" s="19"/>
      <c r="I541" s="19"/>
      <c r="J541" s="49"/>
      <c r="K541" s="49"/>
      <c r="L541" s="2"/>
      <c r="M541" s="78"/>
    </row>
    <row r="542" spans="1:14" s="6" customFormat="1" x14ac:dyDescent="0.25">
      <c r="A542" s="4"/>
      <c r="B542" s="3"/>
      <c r="C542" s="73"/>
      <c r="D542" s="33"/>
      <c r="E542" s="78"/>
      <c r="F542" s="24"/>
      <c r="G542" s="24"/>
      <c r="H542" s="19"/>
      <c r="I542" s="19"/>
      <c r="J542" s="49"/>
      <c r="K542" s="49"/>
      <c r="L542" s="2"/>
      <c r="M542" s="78"/>
    </row>
    <row r="543" spans="1:14" x14ac:dyDescent="0.25">
      <c r="A543" s="4"/>
      <c r="B543" s="3"/>
      <c r="C543" s="73"/>
      <c r="D543" s="33"/>
      <c r="E543" s="78"/>
      <c r="F543" s="24"/>
      <c r="G543" s="24"/>
      <c r="H543" s="19"/>
      <c r="I543" s="19"/>
      <c r="J543" s="49"/>
      <c r="K543" s="49"/>
      <c r="L543" s="2"/>
      <c r="M543" s="78"/>
      <c r="N543" s="6"/>
    </row>
    <row r="544" spans="1:14" x14ac:dyDescent="0.25">
      <c r="A544" s="4"/>
      <c r="B544" s="3"/>
      <c r="C544" s="73"/>
      <c r="D544" s="33"/>
      <c r="E544" s="78"/>
      <c r="F544" s="24"/>
      <c r="G544" s="24"/>
      <c r="H544" s="19"/>
      <c r="I544" s="19"/>
      <c r="J544" s="49"/>
      <c r="K544" s="49"/>
      <c r="L544" s="2"/>
      <c r="M544" s="78"/>
      <c r="N544" s="6"/>
    </row>
    <row r="545" spans="1:13" x14ac:dyDescent="0.25">
      <c r="A545" s="16"/>
      <c r="B545" s="15"/>
      <c r="C545" s="73"/>
      <c r="D545" s="25"/>
      <c r="E545" s="78"/>
      <c r="F545" s="24"/>
      <c r="G545" s="24" t="str">
        <f t="shared" ref="G545" si="23">IF($F545="","",IF($F545="Gemessen","sehr gut",IF($F545="Berechnet","gut",IF($F545="Literaturwert","befriedigend",IF($F545="Geschätzt","schlecht",IF($F545="Keine Angabe","nicht erhoben",IF($F545="Datenbank (Gabi) | NUR UMSICHT","GaBi",IF($F545="Datenbank (ecoinvent) | NUR UMSICHT","ecoinvent"))))))))</f>
        <v/>
      </c>
      <c r="H545" s="19"/>
      <c r="I545" s="19"/>
      <c r="J545" s="28"/>
      <c r="K545" s="28"/>
      <c r="L545" s="2"/>
      <c r="M545" s="78"/>
    </row>
    <row r="546" spans="1:13" x14ac:dyDescent="0.25">
      <c r="A546" s="26"/>
      <c r="F546" s="1"/>
      <c r="G546" s="1"/>
      <c r="H546" s="1"/>
      <c r="I546" s="1"/>
      <c r="J546" s="1"/>
      <c r="K546" s="1"/>
      <c r="M546" s="7"/>
    </row>
    <row r="547" spans="1:13" x14ac:dyDescent="0.25">
      <c r="A547" s="44"/>
      <c r="F547" s="1"/>
      <c r="G547" s="1"/>
      <c r="H547" s="1"/>
      <c r="I547" s="1"/>
      <c r="J547" s="1"/>
      <c r="K547" s="1"/>
      <c r="M547" s="7"/>
    </row>
    <row r="548" spans="1:13" ht="16.8" x14ac:dyDescent="0.25">
      <c r="A548" s="9" t="s">
        <v>328</v>
      </c>
      <c r="B548" s="8"/>
      <c r="C548" s="88"/>
      <c r="D548" s="8"/>
      <c r="E548" s="77"/>
      <c r="F548" s="36"/>
      <c r="G548" s="220" t="s">
        <v>8</v>
      </c>
      <c r="H548" s="220"/>
      <c r="I548" s="8"/>
      <c r="J548" s="8"/>
      <c r="K548" s="8"/>
      <c r="L548" s="8"/>
      <c r="M548" s="77"/>
    </row>
    <row r="549" spans="1:13" ht="41.4" x14ac:dyDescent="0.25">
      <c r="A549" s="11" t="s">
        <v>9</v>
      </c>
      <c r="B549" s="11" t="s">
        <v>10</v>
      </c>
      <c r="C549" s="89" t="s">
        <v>1</v>
      </c>
      <c r="D549" s="11" t="s">
        <v>11</v>
      </c>
      <c r="E549" s="10" t="s">
        <v>12</v>
      </c>
      <c r="F549" s="35" t="s">
        <v>13</v>
      </c>
      <c r="G549" s="35" t="s">
        <v>14</v>
      </c>
      <c r="H549" s="35" t="s">
        <v>15</v>
      </c>
      <c r="I549" s="18" t="s">
        <v>16</v>
      </c>
      <c r="J549" s="18" t="s">
        <v>17</v>
      </c>
      <c r="K549" s="18" t="s">
        <v>18</v>
      </c>
      <c r="L549" s="11" t="s">
        <v>19</v>
      </c>
      <c r="M549" s="10" t="s">
        <v>113</v>
      </c>
    </row>
    <row r="550" spans="1:13" x14ac:dyDescent="0.25">
      <c r="A550" s="3" t="s">
        <v>20</v>
      </c>
      <c r="B550" s="15"/>
      <c r="C550" s="73" t="s">
        <v>114</v>
      </c>
      <c r="D550" s="25"/>
      <c r="E550" s="78"/>
      <c r="F550" s="24"/>
      <c r="G550" s="24" t="str">
        <f>IF($F550="","",IF($F550="Gemessen","sehr gut",IF($F550="Berechnet","gut",IF($F550="Literaturwert","befriedigend",IF($F550="Geschätzt","schlecht",IF($F550="Keine Angabe","nicht erhoben",IF($F550="Datenbank (Gabi) | NUR UMSICHT","GaBi",IF($F550="Datenbank (ecoinvent) | NUR UMSICHT","ecoinvent"))))))))</f>
        <v/>
      </c>
      <c r="H550" s="24"/>
      <c r="I550" s="24"/>
      <c r="J550" s="2"/>
      <c r="K550" s="2"/>
      <c r="L550" s="2"/>
      <c r="M550" s="78"/>
    </row>
    <row r="551" spans="1:13" ht="27.6" x14ac:dyDescent="0.25">
      <c r="A551" s="3" t="s">
        <v>21</v>
      </c>
      <c r="B551" s="15"/>
      <c r="C551" s="73" t="s">
        <v>329</v>
      </c>
      <c r="D551" s="25"/>
      <c r="E551" s="78" t="s">
        <v>330</v>
      </c>
      <c r="F551" s="24"/>
      <c r="G551" s="24"/>
      <c r="H551" s="24"/>
      <c r="I551" s="24"/>
      <c r="J551" s="2"/>
      <c r="K551" s="2"/>
      <c r="L551" s="2"/>
      <c r="M551" s="78"/>
    </row>
    <row r="552" spans="1:13" ht="27.6" x14ac:dyDescent="0.25">
      <c r="A552" s="3" t="s">
        <v>22</v>
      </c>
      <c r="B552" s="15"/>
      <c r="C552" s="94" t="s">
        <v>331</v>
      </c>
      <c r="D552" s="25"/>
      <c r="E552" s="78" t="s">
        <v>332</v>
      </c>
      <c r="F552" s="24"/>
      <c r="G552" s="24" t="str">
        <f>IF($F552="","",IF($F552="Gemessen","sehr gut",IF($F552="Berechnet","gut",IF($F552="Literaturwert","befriedigend",IF($F552="Geschätzt","schlecht",IF($F552="Keine Angabe","nicht erhoben",IF($F552="Datenbank (Gabi) | NUR UMSICHT","GaBi",IF($F552="Datenbank (ecoinvent) | NUR UMSICHT","ecoinvent"))))))))</f>
        <v/>
      </c>
      <c r="H552" s="24"/>
      <c r="I552" s="24"/>
      <c r="J552" s="2"/>
      <c r="K552" s="2"/>
      <c r="L552" s="2"/>
      <c r="M552" s="78"/>
    </row>
    <row r="553" spans="1:13" x14ac:dyDescent="0.25">
      <c r="A553" s="3" t="s">
        <v>23</v>
      </c>
      <c r="B553" s="15"/>
      <c r="C553" s="73"/>
      <c r="D553" s="25"/>
      <c r="E553" s="78"/>
      <c r="F553" s="24"/>
      <c r="G553" s="24"/>
      <c r="H553" s="24"/>
      <c r="I553" s="24"/>
      <c r="J553" s="2"/>
      <c r="K553" s="2"/>
      <c r="L553" s="2"/>
      <c r="M553" s="78"/>
    </row>
    <row r="554" spans="1:13" ht="55.2" x14ac:dyDescent="0.25">
      <c r="A554" s="3" t="s">
        <v>119</v>
      </c>
      <c r="B554" s="15"/>
      <c r="C554" s="73" t="s">
        <v>120</v>
      </c>
      <c r="D554" s="25"/>
      <c r="E554" s="78" t="s">
        <v>121</v>
      </c>
      <c r="F554" s="24"/>
      <c r="G554" s="24"/>
      <c r="H554" s="24"/>
      <c r="I554" s="24"/>
      <c r="J554" s="2"/>
      <c r="K554" s="2"/>
      <c r="L554" s="2"/>
      <c r="M554" s="78"/>
    </row>
    <row r="555" spans="1:13" x14ac:dyDescent="0.25">
      <c r="A555" s="3" t="s">
        <v>122</v>
      </c>
      <c r="B555" s="15"/>
      <c r="C555" s="73"/>
      <c r="D555" s="25"/>
      <c r="E555" s="78" t="s">
        <v>123</v>
      </c>
      <c r="F555" s="24"/>
      <c r="G555" s="24"/>
      <c r="H555" s="24"/>
      <c r="I555" s="24"/>
      <c r="J555" s="2"/>
      <c r="K555" s="2"/>
      <c r="L555" s="2"/>
      <c r="M555" s="78"/>
    </row>
    <row r="556" spans="1:13" x14ac:dyDescent="0.25">
      <c r="A556" s="3"/>
      <c r="B556" s="15"/>
      <c r="C556" s="73"/>
      <c r="D556" s="25"/>
      <c r="E556" s="78"/>
      <c r="F556" s="24"/>
      <c r="G556" s="24"/>
      <c r="H556" s="24"/>
      <c r="I556" s="24"/>
      <c r="J556" s="2"/>
      <c r="K556" s="2"/>
      <c r="L556" s="2"/>
      <c r="M556" s="78"/>
    </row>
    <row r="557" spans="1:13" x14ac:dyDescent="0.25">
      <c r="A557" s="3"/>
      <c r="B557" s="15"/>
      <c r="C557" s="73"/>
      <c r="D557" s="25"/>
      <c r="E557" s="78"/>
      <c r="F557" s="24"/>
      <c r="G557" s="24"/>
      <c r="H557" s="24"/>
      <c r="I557" s="24"/>
      <c r="J557" s="2"/>
      <c r="K557" s="2"/>
      <c r="L557" s="2"/>
      <c r="M557" s="78"/>
    </row>
    <row r="558" spans="1:13" ht="80.099999999999994" customHeight="1" x14ac:dyDescent="0.25">
      <c r="A558" s="3" t="s">
        <v>124</v>
      </c>
      <c r="B558" s="15" t="s">
        <v>125</v>
      </c>
      <c r="C558" s="73">
        <f>(1314/9460800)*276</f>
        <v>3.833333333333333E-2</v>
      </c>
      <c r="D558" s="221" t="s">
        <v>126</v>
      </c>
      <c r="E558" s="222"/>
      <c r="F558" s="222"/>
      <c r="G558" s="222"/>
      <c r="H558" s="222"/>
      <c r="I558" s="222"/>
      <c r="J558" s="222"/>
      <c r="K558" s="222"/>
      <c r="L558" s="222"/>
      <c r="M558" s="223"/>
    </row>
    <row r="559" spans="1:13" x14ac:dyDescent="0.25">
      <c r="A559" s="3"/>
      <c r="B559" s="15"/>
      <c r="C559" s="73"/>
      <c r="D559" s="25"/>
      <c r="E559" s="78"/>
      <c r="F559" s="24"/>
      <c r="G559" s="24"/>
      <c r="H559" s="24"/>
      <c r="I559" s="24"/>
      <c r="J559" s="2"/>
      <c r="K559" s="2"/>
      <c r="L559" s="2"/>
      <c r="M559" s="78"/>
    </row>
    <row r="560" spans="1:13" x14ac:dyDescent="0.25">
      <c r="A560" s="3"/>
      <c r="B560" s="15"/>
      <c r="C560" s="73"/>
      <c r="D560" s="25"/>
      <c r="E560" s="78"/>
      <c r="F560" s="24"/>
      <c r="G560" s="24"/>
      <c r="H560" s="24"/>
      <c r="I560" s="24"/>
      <c r="J560" s="2"/>
      <c r="K560" s="2"/>
      <c r="L560" s="2"/>
      <c r="M560" s="78"/>
    </row>
    <row r="561" spans="1:14" x14ac:dyDescent="0.25">
      <c r="A561" s="3"/>
      <c r="B561" s="15"/>
      <c r="C561" s="73"/>
      <c r="D561" s="25"/>
      <c r="E561" s="78"/>
      <c r="F561" s="24"/>
      <c r="G561" s="24"/>
      <c r="H561" s="24"/>
      <c r="I561" s="24"/>
      <c r="J561" s="2"/>
      <c r="K561" s="2"/>
      <c r="L561" s="2"/>
      <c r="M561" s="78"/>
    </row>
    <row r="562" spans="1:14" x14ac:dyDescent="0.25">
      <c r="A562" s="3"/>
      <c r="B562" s="15"/>
      <c r="C562" s="73"/>
      <c r="D562" s="25"/>
      <c r="E562" s="78"/>
      <c r="F562" s="24"/>
      <c r="G562" s="24"/>
      <c r="H562" s="24"/>
      <c r="I562" s="24"/>
      <c r="J562" s="2"/>
      <c r="K562" s="2"/>
      <c r="L562" s="2"/>
      <c r="M562" s="78"/>
    </row>
    <row r="563" spans="1:14" s="6" customFormat="1" x14ac:dyDescent="0.25">
      <c r="A563" s="3"/>
      <c r="B563" s="15"/>
      <c r="C563" s="73"/>
      <c r="D563" s="25"/>
      <c r="E563" s="78"/>
      <c r="F563" s="24"/>
      <c r="G563" s="24"/>
      <c r="H563" s="24"/>
      <c r="I563" s="24"/>
      <c r="J563" s="2"/>
      <c r="K563" s="2"/>
      <c r="L563" s="2"/>
      <c r="M563" s="78"/>
      <c r="N563" s="1"/>
    </row>
    <row r="564" spans="1:14" x14ac:dyDescent="0.25">
      <c r="A564" s="3"/>
      <c r="B564" s="15"/>
      <c r="C564" s="73"/>
      <c r="D564" s="25"/>
      <c r="E564" s="78"/>
      <c r="F564" s="24"/>
      <c r="G564" s="24"/>
      <c r="H564" s="24"/>
      <c r="I564" s="24"/>
      <c r="J564" s="2"/>
      <c r="K564" s="2"/>
      <c r="L564" s="2"/>
      <c r="M564" s="78"/>
    </row>
    <row r="565" spans="1:14" x14ac:dyDescent="0.25">
      <c r="A565" s="3"/>
      <c r="B565" s="15"/>
      <c r="C565" s="73"/>
      <c r="D565" s="23"/>
      <c r="E565" s="79"/>
      <c r="F565" s="23"/>
      <c r="G565" s="23" t="str">
        <f>IF($F565="","",IF($F565="Gemessen","sehr gut",IF($F565="Berechnet","gut",IF($F565="Literaturwert","befriedigend",IF($F565="Geschätzt","schlecht",IF($F565="Keine Angabe","nicht erhoben",IF($F565="Datenbank (Gabi) | NUR UMSICHT","GaBi",IF($F565="Datenbank (ecoinvent) | NUR UMSICHT","ecoinvent"))))))))</f>
        <v/>
      </c>
      <c r="H565" s="23"/>
      <c r="I565" s="23"/>
      <c r="J565" s="2"/>
      <c r="K565" s="2"/>
      <c r="L565" s="2"/>
      <c r="M565" s="79"/>
      <c r="N565" s="6"/>
    </row>
    <row r="566" spans="1:14" ht="41.4" x14ac:dyDescent="0.25">
      <c r="A566" s="10" t="s">
        <v>1010</v>
      </c>
      <c r="B566" s="11" t="s">
        <v>10</v>
      </c>
      <c r="C566" s="89" t="s">
        <v>1</v>
      </c>
      <c r="D566" s="11" t="s">
        <v>11</v>
      </c>
      <c r="E566" s="10" t="s">
        <v>12</v>
      </c>
      <c r="F566" s="35" t="s">
        <v>13</v>
      </c>
      <c r="G566" s="35" t="s">
        <v>14</v>
      </c>
      <c r="H566" s="35" t="s">
        <v>15</v>
      </c>
      <c r="I566" s="18" t="s">
        <v>16</v>
      </c>
      <c r="J566" s="18" t="s">
        <v>17</v>
      </c>
      <c r="K566" s="18" t="s">
        <v>18</v>
      </c>
      <c r="L566" s="11" t="s">
        <v>19</v>
      </c>
      <c r="M566" s="10" t="s">
        <v>113</v>
      </c>
    </row>
    <row r="567" spans="1:14" x14ac:dyDescent="0.25">
      <c r="A567" s="66" t="s">
        <v>22</v>
      </c>
      <c r="B567" s="11"/>
      <c r="C567" s="89"/>
      <c r="D567" s="11"/>
      <c r="E567" s="10"/>
      <c r="F567" s="35"/>
      <c r="G567" s="35"/>
      <c r="H567" s="35"/>
      <c r="I567" s="18"/>
      <c r="J567" s="18"/>
      <c r="K567" s="18"/>
      <c r="L567" s="11"/>
      <c r="M567" s="10"/>
    </row>
    <row r="568" spans="1:14" x14ac:dyDescent="0.25">
      <c r="A568" s="66" t="s">
        <v>25</v>
      </c>
      <c r="B568" s="11"/>
      <c r="C568" s="89"/>
      <c r="D568" s="11"/>
      <c r="E568" s="10"/>
      <c r="F568" s="35"/>
      <c r="G568" s="35"/>
      <c r="H568" s="35"/>
      <c r="I568" s="18"/>
      <c r="J568" s="18"/>
      <c r="K568" s="18"/>
      <c r="L568" s="11"/>
      <c r="M568" s="10"/>
    </row>
    <row r="569" spans="1:14" x14ac:dyDescent="0.25">
      <c r="A569" s="16"/>
      <c r="B569" s="15"/>
      <c r="C569" s="73"/>
      <c r="D569" s="25"/>
      <c r="E569" s="78"/>
      <c r="F569" s="24"/>
      <c r="G569" s="24" t="str">
        <f t="shared" ref="G569" si="24">IF($F569="","",IF($F569="Gemessen","sehr gut",IF($F569="Berechnet","gut",IF($F569="Literaturwert","befriedigend",IF($F569="Geschätzt","schlecht",IF($F569="Keine Angabe","nicht erhoben",IF($F569="Datenbank (Gabi) | NUR UMSICHT","GaBi",IF($F569="Datenbank (ecoinvent) | NUR UMSICHT","ecoinvent"))))))))</f>
        <v/>
      </c>
      <c r="H569" s="19"/>
      <c r="I569" s="19"/>
      <c r="J569" s="28"/>
      <c r="K569" s="28"/>
      <c r="L569" s="2"/>
      <c r="M569" s="78"/>
    </row>
    <row r="570" spans="1:14" s="86" customFormat="1" ht="32.25" customHeight="1" x14ac:dyDescent="0.25">
      <c r="A570" s="4"/>
      <c r="B570" s="15"/>
      <c r="C570" s="73"/>
      <c r="D570" s="33"/>
      <c r="E570" s="78"/>
      <c r="F570" s="24"/>
      <c r="G570" s="24"/>
      <c r="H570" s="19"/>
      <c r="I570" s="19"/>
      <c r="J570" s="14"/>
      <c r="K570" s="14"/>
      <c r="L570" s="2"/>
      <c r="M570" s="78"/>
      <c r="N570" s="6"/>
    </row>
    <row r="571" spans="1:14" ht="41.4" x14ac:dyDescent="0.25">
      <c r="A571" s="10" t="s">
        <v>127</v>
      </c>
      <c r="B571" s="11" t="s">
        <v>10</v>
      </c>
      <c r="C571" s="89" t="s">
        <v>1</v>
      </c>
      <c r="D571" s="11" t="s">
        <v>11</v>
      </c>
      <c r="E571" s="10" t="s">
        <v>12</v>
      </c>
      <c r="F571" s="35" t="s">
        <v>13</v>
      </c>
      <c r="G571" s="35" t="s">
        <v>14</v>
      </c>
      <c r="H571" s="35" t="s">
        <v>15</v>
      </c>
      <c r="I571" s="18" t="s">
        <v>16</v>
      </c>
      <c r="J571" s="18" t="s">
        <v>17</v>
      </c>
      <c r="K571" s="18" t="s">
        <v>18</v>
      </c>
      <c r="L571" s="11" t="s">
        <v>19</v>
      </c>
      <c r="M571" s="10" t="s">
        <v>113</v>
      </c>
    </row>
    <row r="572" spans="1:14" ht="36.75" customHeight="1" x14ac:dyDescent="0.25">
      <c r="A572" s="66" t="s">
        <v>177</v>
      </c>
      <c r="B572" s="216" t="s">
        <v>333</v>
      </c>
      <c r="C572" s="217"/>
      <c r="D572" s="217"/>
      <c r="E572" s="218"/>
      <c r="F572" s="95"/>
      <c r="G572" s="95"/>
      <c r="H572" s="95"/>
      <c r="I572" s="96"/>
      <c r="J572" s="96"/>
      <c r="K572" s="96"/>
      <c r="L572" s="87"/>
      <c r="M572" s="66"/>
    </row>
    <row r="573" spans="1:14" x14ac:dyDescent="0.25">
      <c r="A573" s="66" t="s">
        <v>22</v>
      </c>
      <c r="B573" s="87" t="s">
        <v>128</v>
      </c>
      <c r="C573" s="93">
        <v>1</v>
      </c>
      <c r="D573" s="87"/>
      <c r="E573" s="66" t="s">
        <v>129</v>
      </c>
      <c r="F573" s="35"/>
      <c r="G573" s="35"/>
      <c r="H573" s="35"/>
      <c r="I573" s="18"/>
      <c r="J573" s="18"/>
      <c r="K573" s="18"/>
      <c r="L573" s="11"/>
      <c r="M573" s="66"/>
    </row>
    <row r="574" spans="1:14" x14ac:dyDescent="0.25">
      <c r="A574" s="66" t="s">
        <v>25</v>
      </c>
      <c r="B574" s="87" t="s">
        <v>115</v>
      </c>
      <c r="C574" s="93">
        <v>45</v>
      </c>
      <c r="D574" s="87"/>
      <c r="E574" s="66"/>
      <c r="F574" s="35"/>
      <c r="G574" s="35"/>
      <c r="H574" s="35"/>
      <c r="I574" s="18"/>
      <c r="J574" s="18"/>
      <c r="K574" s="18"/>
      <c r="L574" s="11"/>
      <c r="M574" s="66"/>
    </row>
    <row r="575" spans="1:14" x14ac:dyDescent="0.25">
      <c r="A575" s="47" t="s">
        <v>26</v>
      </c>
      <c r="C575" s="73"/>
      <c r="D575" s="25"/>
      <c r="E575" s="78"/>
      <c r="F575" s="24"/>
      <c r="G575" s="24" t="str">
        <f>IF($F575="","",IF($F575="Gemessen","sehr gut",IF($F575="Berechnet","gut",IF($F575="Literaturwert","befriedigend",IF($F575="Geschätzt","schlecht",IF($F575="Keine Angabe","nicht erhoben",IF($F575="Datenbank (Gabi) | NUR UMSICHT","GaBi",IF($F575="Datenbank (ecoinvent) | NUR UMSICHT","ecoinvent"))))))))</f>
        <v/>
      </c>
      <c r="H575" s="19"/>
      <c r="I575" s="19"/>
      <c r="J575" s="29"/>
      <c r="K575" s="29"/>
      <c r="L575" s="2"/>
      <c r="M575" s="78"/>
    </row>
    <row r="576" spans="1:14" x14ac:dyDescent="0.25">
      <c r="A576" s="4" t="s">
        <v>36</v>
      </c>
      <c r="B576" s="4" t="s">
        <v>39</v>
      </c>
      <c r="C576" s="73">
        <v>1</v>
      </c>
      <c r="D576" s="25"/>
      <c r="E576" s="78"/>
      <c r="F576" s="25"/>
      <c r="G576" s="24" t="str">
        <f t="shared" ref="G576:G589" si="25">IF($F576="","",IF($F576="Gemessen","sehr gut",IF($F576="Berechnet","gut",IF($F576="Literaturwert","befriedigend",IF($F576="Geschätzt","schlecht",IF($F576="Keine Angabe","nicht erhoben",IF($F576="Datenbank (Gabi) | NUR UMSICHT","GaBi",IF($F576="Datenbank (ecoinvent) | NUR UMSICHT","ecoinvent"))))))))</f>
        <v/>
      </c>
      <c r="H576" s="19"/>
      <c r="I576" s="25"/>
      <c r="J576" s="55"/>
      <c r="K576" s="55"/>
      <c r="L576" s="2"/>
      <c r="M576" s="78"/>
    </row>
    <row r="577" spans="1:14" ht="29.4" x14ac:dyDescent="0.25">
      <c r="A577" s="4" t="s">
        <v>130</v>
      </c>
      <c r="B577" s="4" t="s">
        <v>131</v>
      </c>
      <c r="C577" s="23">
        <f>(20/26280000)*45</f>
        <v>3.4246575342465751E-5</v>
      </c>
      <c r="D577" s="143">
        <v>3.4246575342465798E-5</v>
      </c>
      <c r="E577" s="78" t="s">
        <v>325</v>
      </c>
      <c r="F577" s="25"/>
      <c r="G577" s="24"/>
      <c r="H577" s="19"/>
      <c r="I577" s="25"/>
      <c r="J577" s="55"/>
      <c r="K577" s="55"/>
      <c r="L577" s="2"/>
      <c r="M577" s="78"/>
    </row>
    <row r="578" spans="1:14" x14ac:dyDescent="0.25">
      <c r="A578" s="4" t="s">
        <v>134</v>
      </c>
      <c r="B578" s="4" t="s">
        <v>125</v>
      </c>
      <c r="C578" s="23">
        <f>($C$558/276)*C574</f>
        <v>6.2500000000000003E-3</v>
      </c>
      <c r="D578" s="146"/>
      <c r="E578" s="78" t="s">
        <v>135</v>
      </c>
      <c r="F578" s="25"/>
      <c r="G578" s="24"/>
      <c r="H578" s="19"/>
      <c r="I578" s="25"/>
      <c r="J578" s="55"/>
      <c r="K578" s="55"/>
      <c r="L578" s="2"/>
      <c r="M578" s="78"/>
    </row>
    <row r="579" spans="1:14" ht="27.6" x14ac:dyDescent="0.25">
      <c r="A579" s="2" t="s">
        <v>136</v>
      </c>
      <c r="B579" s="4" t="s">
        <v>33</v>
      </c>
      <c r="C579" s="165">
        <f>Allokationen!E25</f>
        <v>3.1187514732805695</v>
      </c>
      <c r="D579" s="25"/>
      <c r="E579" s="78" t="s">
        <v>137</v>
      </c>
      <c r="F579" s="24"/>
      <c r="G579" s="24"/>
      <c r="H579" s="19"/>
      <c r="I579" s="19"/>
      <c r="J579" s="14"/>
      <c r="K579" s="14"/>
      <c r="L579" s="2"/>
      <c r="M579" s="78"/>
    </row>
    <row r="580" spans="1:14" s="6" customFormat="1" ht="27.6" x14ac:dyDescent="0.25">
      <c r="A580" s="70" t="s">
        <v>138</v>
      </c>
      <c r="B580" s="4" t="s">
        <v>33</v>
      </c>
      <c r="C580" s="165">
        <f>Allokationen!F25</f>
        <v>8.6263338622654047</v>
      </c>
      <c r="D580" s="25"/>
      <c r="E580" s="78" t="s">
        <v>137</v>
      </c>
      <c r="F580" s="24"/>
      <c r="G580" s="24"/>
      <c r="H580" s="19"/>
      <c r="I580" s="19"/>
      <c r="J580" s="14"/>
      <c r="K580" s="14"/>
      <c r="L580" s="2"/>
      <c r="M580" s="78"/>
      <c r="N580" s="1"/>
    </row>
    <row r="581" spans="1:14" ht="27.9" customHeight="1" x14ac:dyDescent="0.25">
      <c r="A581" s="70" t="s">
        <v>78</v>
      </c>
      <c r="B581" s="4" t="s">
        <v>33</v>
      </c>
      <c r="C581" s="73"/>
      <c r="D581" s="25"/>
      <c r="E581" s="78" t="s">
        <v>139</v>
      </c>
      <c r="F581" s="24"/>
      <c r="G581" s="24"/>
      <c r="H581" s="19"/>
      <c r="I581" s="19"/>
      <c r="J581" s="14"/>
      <c r="K581" s="14"/>
      <c r="L581" s="2"/>
      <c r="M581" s="78"/>
    </row>
    <row r="582" spans="1:14" ht="55.2" x14ac:dyDescent="0.25">
      <c r="A582" s="4" t="s">
        <v>140</v>
      </c>
      <c r="B582" s="3" t="s">
        <v>141</v>
      </c>
      <c r="C582" s="73">
        <f>45/2100</f>
        <v>2.1428571428571429E-2</v>
      </c>
      <c r="D582" s="33"/>
      <c r="E582" s="78" t="s">
        <v>327</v>
      </c>
      <c r="F582" s="24"/>
      <c r="G582" s="24"/>
      <c r="H582" s="19"/>
      <c r="I582" s="19"/>
      <c r="J582" s="49"/>
      <c r="K582" s="49"/>
      <c r="L582" s="2"/>
      <c r="M582" s="78"/>
      <c r="N582" s="6"/>
    </row>
    <row r="583" spans="1:14" ht="69" x14ac:dyDescent="0.25">
      <c r="A583" s="2" t="s">
        <v>143</v>
      </c>
      <c r="B583" s="15" t="s">
        <v>144</v>
      </c>
      <c r="C583" s="73">
        <v>1.175</v>
      </c>
      <c r="D583" s="25"/>
      <c r="E583" s="78" t="s">
        <v>334</v>
      </c>
      <c r="F583" s="24"/>
      <c r="G583" s="24" t="str">
        <f t="shared" ref="G583" si="26">IF($F583="","",IF($F583="Gemessen","sehr gut",IF($F583="Berechnet","gut",IF($F583="Literaturwert","befriedigend",IF($F583="Geschätzt","schlecht",IF($F583="Keine Angabe","nicht erhoben",IF($F583="Datenbank (Gabi) | NUR UMSICHT","GaBi",IF($F583="Datenbank (ecoinvent) | NUR UMSICHT","ecoinvent"))))))))</f>
        <v/>
      </c>
      <c r="H583" s="19"/>
      <c r="I583" s="19"/>
      <c r="J583" s="28"/>
      <c r="K583" s="28"/>
      <c r="L583" s="2"/>
      <c r="M583" s="78"/>
    </row>
    <row r="584" spans="1:14" x14ac:dyDescent="0.25">
      <c r="A584" s="70" t="s">
        <v>335</v>
      </c>
      <c r="B584" s="15" t="s">
        <v>144</v>
      </c>
      <c r="C584" s="73">
        <v>20</v>
      </c>
      <c r="D584" s="25"/>
      <c r="E584" s="78" t="s">
        <v>147</v>
      </c>
      <c r="F584" s="24"/>
      <c r="G584" s="24"/>
      <c r="H584" s="19"/>
      <c r="I584" s="19"/>
      <c r="J584" s="28"/>
      <c r="K584" s="28"/>
      <c r="L584" s="2"/>
      <c r="M584" s="78"/>
    </row>
    <row r="585" spans="1:14" ht="138" x14ac:dyDescent="0.25">
      <c r="A585" s="70" t="s">
        <v>149</v>
      </c>
      <c r="B585" s="3" t="s">
        <v>144</v>
      </c>
      <c r="C585" s="73">
        <f>40*3.8*0.00886</f>
        <v>1.3467199999999999</v>
      </c>
      <c r="D585" s="25"/>
      <c r="E585" s="78" t="s">
        <v>150</v>
      </c>
      <c r="F585" s="24"/>
      <c r="G585" s="24"/>
      <c r="H585" s="19"/>
      <c r="I585" s="19"/>
      <c r="J585" s="28"/>
      <c r="K585" s="28"/>
      <c r="L585" s="2"/>
      <c r="M585" s="78"/>
    </row>
    <row r="586" spans="1:14" s="6" customFormat="1" ht="69" x14ac:dyDescent="0.25">
      <c r="A586" s="4" t="s">
        <v>151</v>
      </c>
      <c r="B586" s="3" t="s">
        <v>144</v>
      </c>
      <c r="C586" s="23">
        <f>2*(770*0.00526316)</f>
        <v>8.1052663999999996</v>
      </c>
      <c r="D586" s="33"/>
      <c r="E586" s="78" t="s">
        <v>152</v>
      </c>
      <c r="F586" s="24"/>
      <c r="G586" s="24"/>
      <c r="H586" s="19"/>
      <c r="I586" s="19"/>
      <c r="J586" s="49"/>
      <c r="K586" s="49"/>
      <c r="L586" s="2"/>
      <c r="M586" s="78"/>
    </row>
    <row r="587" spans="1:14" x14ac:dyDescent="0.25">
      <c r="A587" s="46" t="s">
        <v>35</v>
      </c>
      <c r="B587" s="15"/>
      <c r="C587" s="73"/>
      <c r="D587" s="25"/>
      <c r="E587" s="78"/>
      <c r="F587" s="24"/>
      <c r="G587" s="24" t="str">
        <f t="shared" si="25"/>
        <v/>
      </c>
      <c r="H587" s="19"/>
      <c r="I587" s="19"/>
      <c r="J587" s="27"/>
      <c r="K587" s="27"/>
      <c r="L587" s="2"/>
      <c r="M587" s="78"/>
    </row>
    <row r="588" spans="1:14" x14ac:dyDescent="0.25">
      <c r="A588" s="4" t="s">
        <v>46</v>
      </c>
      <c r="B588" s="4" t="s">
        <v>37</v>
      </c>
      <c r="C588" s="73">
        <v>1</v>
      </c>
      <c r="D588" s="25"/>
      <c r="E588" s="148"/>
      <c r="F588" s="24"/>
      <c r="G588" s="24" t="str">
        <f t="shared" si="25"/>
        <v/>
      </c>
      <c r="H588" s="19"/>
      <c r="I588" s="19"/>
      <c r="J588" s="31"/>
      <c r="K588" s="31"/>
      <c r="L588" s="2"/>
      <c r="M588" s="78"/>
    </row>
    <row r="589" spans="1:14" x14ac:dyDescent="0.25">
      <c r="A589" s="2" t="s">
        <v>47</v>
      </c>
      <c r="B589" s="4" t="s">
        <v>37</v>
      </c>
      <c r="C589" s="73">
        <v>1</v>
      </c>
      <c r="D589" s="32"/>
      <c r="E589" s="78"/>
      <c r="F589" s="24"/>
      <c r="G589" s="24" t="str">
        <f t="shared" si="25"/>
        <v/>
      </c>
      <c r="H589" s="19"/>
      <c r="I589" s="19"/>
      <c r="J589" s="27"/>
      <c r="K589" s="27"/>
      <c r="L589" s="20"/>
      <c r="M589" s="78"/>
    </row>
    <row r="590" spans="1:14" ht="69" x14ac:dyDescent="0.25">
      <c r="A590" s="70" t="s">
        <v>155</v>
      </c>
      <c r="B590" s="4" t="s">
        <v>156</v>
      </c>
      <c r="C590" s="73">
        <f>C583</f>
        <v>1.175</v>
      </c>
      <c r="D590" s="25"/>
      <c r="E590" s="78" t="s">
        <v>157</v>
      </c>
      <c r="F590" s="24"/>
      <c r="G590" s="24"/>
      <c r="H590" s="19"/>
      <c r="I590" s="19"/>
      <c r="J590" s="14"/>
      <c r="K590" s="14"/>
      <c r="L590" s="2"/>
      <c r="M590" s="78" t="s">
        <v>158</v>
      </c>
    </row>
    <row r="591" spans="1:14" ht="69" x14ac:dyDescent="0.25">
      <c r="A591" s="70" t="s">
        <v>159</v>
      </c>
      <c r="B591" s="4" t="s">
        <v>156</v>
      </c>
      <c r="C591" s="73">
        <f>C584</f>
        <v>20</v>
      </c>
      <c r="D591" s="25"/>
      <c r="E591" s="78"/>
      <c r="F591" s="24"/>
      <c r="G591" s="24"/>
      <c r="H591" s="19"/>
      <c r="I591" s="19"/>
      <c r="J591" s="14"/>
      <c r="K591" s="14"/>
      <c r="L591" s="2"/>
      <c r="M591" s="78" t="s">
        <v>158</v>
      </c>
    </row>
    <row r="592" spans="1:14" ht="26.25" customHeight="1" x14ac:dyDescent="0.25">
      <c r="A592" s="70" t="s">
        <v>160</v>
      </c>
      <c r="B592" s="4" t="s">
        <v>45</v>
      </c>
      <c r="C592" s="73">
        <f>C586</f>
        <v>8.1052663999999996</v>
      </c>
      <c r="D592" s="25"/>
      <c r="E592" s="78"/>
      <c r="F592" s="24"/>
      <c r="G592" s="24"/>
      <c r="H592" s="19"/>
      <c r="I592" s="19"/>
      <c r="J592" s="14"/>
      <c r="K592" s="14"/>
      <c r="L592" s="2"/>
      <c r="M592" s="78" t="s">
        <v>161</v>
      </c>
    </row>
    <row r="593" spans="1:14" ht="27.9" customHeight="1" x14ac:dyDescent="0.25">
      <c r="A593" s="70" t="s">
        <v>162</v>
      </c>
      <c r="B593" s="4" t="s">
        <v>144</v>
      </c>
      <c r="C593" s="73">
        <f>C582*200</f>
        <v>4.2857142857142856</v>
      </c>
      <c r="D593" s="25"/>
      <c r="E593" s="78"/>
      <c r="F593" s="24"/>
      <c r="G593" s="24"/>
      <c r="H593" s="19"/>
      <c r="I593" s="19"/>
      <c r="J593" s="14"/>
      <c r="K593" s="14"/>
      <c r="L593" s="2"/>
      <c r="M593" s="78" t="s">
        <v>163</v>
      </c>
    </row>
    <row r="594" spans="1:14" s="6" customFormat="1" x14ac:dyDescent="0.25">
      <c r="A594" s="70"/>
      <c r="B594" s="4"/>
      <c r="C594" s="73"/>
      <c r="D594" s="25"/>
      <c r="E594" s="78"/>
      <c r="F594" s="24"/>
      <c r="G594" s="24"/>
      <c r="H594" s="19"/>
      <c r="I594" s="19"/>
      <c r="J594" s="14"/>
      <c r="K594" s="14"/>
      <c r="L594" s="2"/>
      <c r="M594" s="78"/>
      <c r="N594" s="1"/>
    </row>
    <row r="595" spans="1:14" s="6" customFormat="1" x14ac:dyDescent="0.25">
      <c r="A595" s="46" t="s">
        <v>164</v>
      </c>
      <c r="B595" s="3"/>
      <c r="C595" s="73"/>
      <c r="D595" s="33"/>
      <c r="E595" s="78"/>
      <c r="F595" s="24"/>
      <c r="G595" s="24"/>
      <c r="H595" s="19"/>
      <c r="I595" s="19"/>
      <c r="J595" s="49"/>
      <c r="K595" s="49"/>
      <c r="L595" s="2"/>
      <c r="M595" s="78"/>
    </row>
    <row r="596" spans="1:14" s="6" customFormat="1" x14ac:dyDescent="0.25">
      <c r="A596" s="70" t="s">
        <v>165</v>
      </c>
      <c r="B596" s="3"/>
      <c r="C596" s="73"/>
      <c r="D596" s="33"/>
      <c r="E596" s="78"/>
      <c r="F596" s="24"/>
      <c r="G596" s="24"/>
      <c r="H596" s="19"/>
      <c r="I596" s="19"/>
      <c r="J596" s="49"/>
      <c r="K596" s="49"/>
      <c r="L596" s="2"/>
      <c r="M596" s="78"/>
    </row>
    <row r="597" spans="1:14" s="6" customFormat="1" x14ac:dyDescent="0.25">
      <c r="A597" s="4" t="s">
        <v>166</v>
      </c>
      <c r="B597" s="3"/>
      <c r="C597" s="73"/>
      <c r="D597" s="33"/>
      <c r="E597" s="78" t="s">
        <v>167</v>
      </c>
      <c r="F597" s="24"/>
      <c r="G597" s="24"/>
      <c r="H597" s="19"/>
      <c r="I597" s="19"/>
      <c r="J597" s="49"/>
      <c r="K597" s="49"/>
      <c r="L597" s="2"/>
      <c r="M597" s="78"/>
    </row>
    <row r="598" spans="1:14" s="6" customFormat="1" x14ac:dyDescent="0.25">
      <c r="A598" s="4" t="s">
        <v>168</v>
      </c>
      <c r="B598" s="3"/>
      <c r="C598" s="73"/>
      <c r="D598" s="33"/>
      <c r="E598" s="78" t="s">
        <v>169</v>
      </c>
      <c r="F598" s="24"/>
      <c r="G598" s="24"/>
      <c r="H598" s="19"/>
      <c r="I598" s="19"/>
      <c r="J598" s="49"/>
      <c r="K598" s="49"/>
      <c r="L598" s="2"/>
      <c r="M598" s="78"/>
    </row>
    <row r="599" spans="1:14" s="6" customFormat="1" x14ac:dyDescent="0.25">
      <c r="A599" s="4" t="s">
        <v>170</v>
      </c>
      <c r="B599" s="3"/>
      <c r="C599" s="73"/>
      <c r="D599" s="33"/>
      <c r="E599" s="78"/>
      <c r="F599" s="24"/>
      <c r="G599" s="24"/>
      <c r="H599" s="19"/>
      <c r="I599" s="19"/>
      <c r="J599" s="49"/>
      <c r="K599" s="49"/>
      <c r="L599" s="2"/>
      <c r="M599" s="78"/>
    </row>
    <row r="600" spans="1:14" s="6" customFormat="1" x14ac:dyDescent="0.25">
      <c r="A600" s="4" t="s">
        <v>171</v>
      </c>
      <c r="B600" s="3"/>
      <c r="C600" s="73"/>
      <c r="D600" s="33"/>
      <c r="E600" s="78" t="s">
        <v>172</v>
      </c>
      <c r="F600" s="24"/>
      <c r="G600" s="24"/>
      <c r="H600" s="19"/>
      <c r="I600" s="19"/>
      <c r="J600" s="49"/>
      <c r="K600" s="49"/>
      <c r="L600" s="2"/>
      <c r="M600" s="78"/>
    </row>
    <row r="601" spans="1:14" s="6" customFormat="1" x14ac:dyDescent="0.25">
      <c r="A601" s="4" t="s">
        <v>173</v>
      </c>
      <c r="B601" s="3"/>
      <c r="C601" s="73"/>
      <c r="D601" s="33"/>
      <c r="E601" s="78" t="s">
        <v>172</v>
      </c>
      <c r="F601" s="24"/>
      <c r="G601" s="24"/>
      <c r="H601" s="19"/>
      <c r="I601" s="19"/>
      <c r="J601" s="49"/>
      <c r="K601" s="49"/>
      <c r="L601" s="2"/>
      <c r="M601" s="78"/>
    </row>
    <row r="602" spans="1:14" s="6" customFormat="1" x14ac:dyDescent="0.25">
      <c r="A602" s="4" t="s">
        <v>174</v>
      </c>
      <c r="B602" s="3"/>
      <c r="C602" s="73"/>
      <c r="D602" s="33"/>
      <c r="E602" s="78" t="s">
        <v>175</v>
      </c>
      <c r="F602" s="24"/>
      <c r="G602" s="24"/>
      <c r="H602" s="19"/>
      <c r="I602" s="19"/>
      <c r="J602" s="49"/>
      <c r="K602" s="49"/>
      <c r="L602" s="2"/>
      <c r="M602" s="78"/>
    </row>
    <row r="603" spans="1:14" x14ac:dyDescent="0.25">
      <c r="A603" s="4"/>
      <c r="B603" s="3"/>
      <c r="C603" s="73"/>
      <c r="D603" s="33"/>
      <c r="E603" s="78"/>
      <c r="F603" s="24"/>
      <c r="G603" s="24"/>
      <c r="H603" s="19"/>
      <c r="I603" s="19"/>
      <c r="J603" s="49"/>
      <c r="K603" s="49"/>
      <c r="L603" s="2"/>
      <c r="M603" s="78"/>
      <c r="N603" s="6"/>
    </row>
    <row r="604" spans="1:14" s="86" customFormat="1" ht="39" customHeight="1" x14ac:dyDescent="0.25">
      <c r="A604" s="4"/>
      <c r="B604" s="3"/>
      <c r="C604" s="73"/>
      <c r="D604" s="33"/>
      <c r="E604" s="78"/>
      <c r="F604" s="24"/>
      <c r="G604" s="24"/>
      <c r="H604" s="19"/>
      <c r="I604" s="19"/>
      <c r="J604" s="49"/>
      <c r="K604" s="49"/>
      <c r="L604" s="2"/>
      <c r="M604" s="78"/>
      <c r="N604" s="6"/>
    </row>
    <row r="605" spans="1:14" s="86" customFormat="1" ht="41.4" x14ac:dyDescent="0.25">
      <c r="A605" s="10" t="s">
        <v>336</v>
      </c>
      <c r="B605" s="11" t="s">
        <v>10</v>
      </c>
      <c r="C605" s="89" t="s">
        <v>1</v>
      </c>
      <c r="D605" s="11" t="s">
        <v>11</v>
      </c>
      <c r="E605" s="10" t="s">
        <v>12</v>
      </c>
      <c r="F605" s="35" t="s">
        <v>13</v>
      </c>
      <c r="G605" s="35" t="s">
        <v>14</v>
      </c>
      <c r="H605" s="35" t="s">
        <v>15</v>
      </c>
      <c r="I605" s="18" t="s">
        <v>16</v>
      </c>
      <c r="J605" s="18" t="s">
        <v>17</v>
      </c>
      <c r="K605" s="18" t="s">
        <v>18</v>
      </c>
      <c r="L605" s="11" t="s">
        <v>19</v>
      </c>
      <c r="M605" s="10" t="s">
        <v>113</v>
      </c>
      <c r="N605" s="1"/>
    </row>
    <row r="606" spans="1:14" s="86" customFormat="1" x14ac:dyDescent="0.25">
      <c r="A606" s="66" t="s">
        <v>177</v>
      </c>
      <c r="B606" s="216" t="s">
        <v>337</v>
      </c>
      <c r="C606" s="217"/>
      <c r="D606" s="217"/>
      <c r="E606" s="218"/>
      <c r="F606" s="95"/>
      <c r="G606" s="95"/>
      <c r="H606" s="95"/>
      <c r="I606" s="96"/>
      <c r="J606" s="96"/>
      <c r="K606" s="96"/>
      <c r="L606" s="87"/>
      <c r="M606" s="66"/>
      <c r="N606" s="1"/>
    </row>
    <row r="607" spans="1:14" x14ac:dyDescent="0.25">
      <c r="A607" s="66" t="s">
        <v>22</v>
      </c>
      <c r="B607" s="87"/>
      <c r="C607" s="93">
        <v>1</v>
      </c>
      <c r="D607" s="87"/>
      <c r="E607" s="66"/>
      <c r="F607" s="95"/>
      <c r="G607" s="95"/>
      <c r="H607" s="95"/>
      <c r="I607" s="96"/>
      <c r="J607" s="96"/>
      <c r="K607" s="96"/>
      <c r="L607" s="87"/>
      <c r="M607" s="66"/>
    </row>
    <row r="608" spans="1:14" x14ac:dyDescent="0.25">
      <c r="A608" s="66" t="s">
        <v>25</v>
      </c>
      <c r="B608" s="87" t="s">
        <v>115</v>
      </c>
      <c r="C608" s="93">
        <v>15</v>
      </c>
      <c r="D608" s="87"/>
      <c r="E608" s="66"/>
      <c r="F608" s="95"/>
      <c r="G608" s="95"/>
      <c r="H608" s="95"/>
      <c r="I608" s="96"/>
      <c r="J608" s="96"/>
      <c r="K608" s="96"/>
      <c r="L608" s="87"/>
      <c r="M608" s="66"/>
    </row>
    <row r="609" spans="1:14" x14ac:dyDescent="0.25">
      <c r="A609" s="46" t="s">
        <v>26</v>
      </c>
      <c r="B609" s="15"/>
      <c r="C609" s="73"/>
      <c r="D609" s="34"/>
      <c r="E609" s="78"/>
      <c r="F609" s="24"/>
      <c r="G609" s="24" t="str">
        <f t="shared" ref="G609:G621" si="27">IF($F609="","",IF($F609="Gemessen","sehr gut",IF($F609="Berechnet","gut",IF($F609="Literaturwert","befriedigend",IF($F609="Geschätzt","schlecht",IF($F609="Keine Angabe","nicht erhoben",IF($F609="Datenbank (Gabi) | NUR UMSICHT","GaBi",IF($F609="Datenbank (ecoinvent) | NUR UMSICHT","ecoinvent"))))))))</f>
        <v/>
      </c>
      <c r="H609" s="19"/>
      <c r="I609" s="19"/>
      <c r="J609" s="28"/>
      <c r="K609" s="28"/>
      <c r="L609" s="2"/>
      <c r="M609" s="78"/>
    </row>
    <row r="610" spans="1:14" x14ac:dyDescent="0.25">
      <c r="A610" s="2" t="s">
        <v>47</v>
      </c>
      <c r="B610" s="4" t="s">
        <v>37</v>
      </c>
      <c r="C610" s="73">
        <v>1</v>
      </c>
      <c r="D610" s="32"/>
      <c r="E610" s="78"/>
      <c r="F610" s="24"/>
      <c r="G610" s="24" t="str">
        <f t="shared" ref="G610" si="28">IF($F610="","",IF($F610="Gemessen","sehr gut",IF($F610="Berechnet","gut",IF($F610="Literaturwert","befriedigend",IF($F610="Geschätzt","schlecht",IF($F610="Keine Angabe","nicht erhoben",IF($F610="Datenbank (Gabi) | NUR UMSICHT","GaBi",IF($F610="Datenbank (ecoinvent) | NUR UMSICHT","ecoinvent"))))))))</f>
        <v/>
      </c>
      <c r="H610" s="19"/>
      <c r="I610" s="19"/>
      <c r="J610" s="27"/>
      <c r="K610" s="27"/>
      <c r="L610" s="20"/>
      <c r="M610" s="78"/>
    </row>
    <row r="611" spans="1:14" ht="69" x14ac:dyDescent="0.25">
      <c r="A611" s="4" t="s">
        <v>338</v>
      </c>
      <c r="B611" s="4" t="s">
        <v>125</v>
      </c>
      <c r="C611" s="73">
        <v>10</v>
      </c>
      <c r="D611" s="34"/>
      <c r="E611" s="78" t="s">
        <v>339</v>
      </c>
      <c r="F611" s="24"/>
      <c r="G611" s="24"/>
      <c r="H611" s="19"/>
      <c r="I611" s="19"/>
      <c r="J611" s="28"/>
      <c r="K611" s="28"/>
      <c r="L611" s="2"/>
      <c r="M611" s="78"/>
    </row>
    <row r="612" spans="1:14" ht="29.4" x14ac:dyDescent="0.25">
      <c r="A612" s="4" t="s">
        <v>130</v>
      </c>
      <c r="B612" s="4" t="s">
        <v>131</v>
      </c>
      <c r="C612" s="23">
        <f>(4/26280000)*15</f>
        <v>2.2831050228310503E-6</v>
      </c>
      <c r="D612" s="143"/>
      <c r="E612" s="78" t="s">
        <v>181</v>
      </c>
      <c r="F612" s="25"/>
      <c r="G612" s="24"/>
      <c r="H612" s="19"/>
      <c r="I612" s="25"/>
      <c r="J612" s="55"/>
      <c r="K612" s="55"/>
      <c r="L612" s="2"/>
      <c r="M612" s="78"/>
    </row>
    <row r="613" spans="1:14" x14ac:dyDescent="0.25">
      <c r="A613" s="4" t="s">
        <v>134</v>
      </c>
      <c r="B613" s="4" t="s">
        <v>125</v>
      </c>
      <c r="C613" s="23">
        <f>($C$558/276)*C608</f>
        <v>2.0833333333333333E-3</v>
      </c>
      <c r="D613" s="146"/>
      <c r="E613" s="78" t="s">
        <v>135</v>
      </c>
      <c r="F613" s="25"/>
      <c r="G613" s="24"/>
      <c r="H613" s="19"/>
      <c r="I613" s="25"/>
      <c r="J613" s="55"/>
      <c r="K613" s="55"/>
      <c r="L613" s="2"/>
      <c r="M613" s="78"/>
    </row>
    <row r="614" spans="1:14" ht="27.6" x14ac:dyDescent="0.25">
      <c r="A614" s="4" t="s">
        <v>340</v>
      </c>
      <c r="B614" s="4" t="s">
        <v>33</v>
      </c>
      <c r="C614" s="165">
        <f>Allokationen!E26</f>
        <v>1.0395838244268565</v>
      </c>
      <c r="D614" s="34"/>
      <c r="E614" s="78" t="s">
        <v>137</v>
      </c>
      <c r="F614" s="24"/>
      <c r="G614" s="24"/>
      <c r="H614" s="19"/>
      <c r="I614" s="19"/>
      <c r="J614" s="28"/>
      <c r="K614" s="28"/>
      <c r="L614" s="2"/>
      <c r="M614" s="78"/>
    </row>
    <row r="615" spans="1:14" ht="27.6" x14ac:dyDescent="0.25">
      <c r="A615" s="4" t="s">
        <v>138</v>
      </c>
      <c r="B615" s="4" t="s">
        <v>33</v>
      </c>
      <c r="C615" s="165">
        <f>Allokationen!F26</f>
        <v>2.8754446207551352</v>
      </c>
      <c r="D615" s="34"/>
      <c r="E615" s="78" t="s">
        <v>137</v>
      </c>
      <c r="F615" s="24"/>
      <c r="G615" s="24"/>
      <c r="H615" s="19"/>
      <c r="I615" s="19"/>
      <c r="J615" s="28"/>
      <c r="K615" s="28"/>
      <c r="L615" s="2"/>
      <c r="M615" s="78"/>
    </row>
    <row r="616" spans="1:14" s="6" customFormat="1" ht="110.4" x14ac:dyDescent="0.25">
      <c r="A616" s="4" t="s">
        <v>78</v>
      </c>
      <c r="B616" s="4" t="s">
        <v>188</v>
      </c>
      <c r="C616" s="73">
        <f>0.5*333</f>
        <v>166.5</v>
      </c>
      <c r="D616" s="34"/>
      <c r="E616" s="78" t="s">
        <v>341</v>
      </c>
      <c r="F616" s="24"/>
      <c r="G616" s="24"/>
      <c r="H616" s="19"/>
      <c r="I616" s="19"/>
      <c r="J616" s="28"/>
      <c r="K616" s="28"/>
      <c r="L616" s="2"/>
      <c r="M616" s="78"/>
      <c r="N616" s="1"/>
    </row>
    <row r="617" spans="1:14" ht="69" x14ac:dyDescent="0.25">
      <c r="A617" s="70" t="s">
        <v>199</v>
      </c>
      <c r="B617" s="4" t="s">
        <v>144</v>
      </c>
      <c r="C617" s="73">
        <f>10*0.9</f>
        <v>9</v>
      </c>
      <c r="D617" s="25"/>
      <c r="E617" s="78" t="s">
        <v>200</v>
      </c>
      <c r="F617" s="24"/>
      <c r="G617" s="24"/>
      <c r="H617" s="19"/>
      <c r="I617" s="19"/>
      <c r="J617" s="14"/>
      <c r="K617" s="14"/>
      <c r="L617" s="2"/>
      <c r="M617" s="78" t="s">
        <v>201</v>
      </c>
    </row>
    <row r="618" spans="1:14" s="6" customFormat="1" ht="27.6" x14ac:dyDescent="0.25">
      <c r="A618" s="4" t="s">
        <v>342</v>
      </c>
      <c r="B618" s="4" t="s">
        <v>128</v>
      </c>
      <c r="C618" s="73">
        <v>2</v>
      </c>
      <c r="D618" s="34"/>
      <c r="E618" s="78" t="s">
        <v>343</v>
      </c>
      <c r="F618" s="24"/>
      <c r="G618" s="24"/>
      <c r="H618" s="19"/>
      <c r="I618" s="19"/>
      <c r="J618" s="28"/>
      <c r="K618" s="28"/>
      <c r="L618" s="2"/>
      <c r="M618" s="78"/>
      <c r="N618" s="1"/>
    </row>
    <row r="619" spans="1:14" s="6" customFormat="1" ht="124.2" x14ac:dyDescent="0.25">
      <c r="A619" s="4" t="s">
        <v>230</v>
      </c>
      <c r="B619" s="3" t="s">
        <v>344</v>
      </c>
      <c r="C619" s="73">
        <v>18</v>
      </c>
      <c r="D619" s="33"/>
      <c r="E619" s="78" t="s">
        <v>231</v>
      </c>
      <c r="F619" s="24"/>
      <c r="G619" s="24"/>
      <c r="H619" s="19"/>
      <c r="I619" s="19"/>
      <c r="J619" s="49"/>
      <c r="K619" s="49"/>
      <c r="L619" s="2"/>
      <c r="M619" s="78" t="s">
        <v>232</v>
      </c>
    </row>
    <row r="620" spans="1:14" x14ac:dyDescent="0.25">
      <c r="A620" s="2"/>
      <c r="B620" s="15"/>
      <c r="C620" s="73"/>
      <c r="D620" s="25"/>
      <c r="E620" s="78"/>
      <c r="F620" s="24"/>
      <c r="G620" s="24" t="str">
        <f t="shared" ref="G620" si="29">IF($F620="","",IF($F620="Gemessen","sehr gut",IF($F620="Berechnet","gut",IF($F620="Literaturwert","befriedigend",IF($F620="Geschätzt","schlecht",IF($F620="Keine Angabe","nicht erhoben",IF($F620="Datenbank (Gabi) | NUR UMSICHT","GaBi",IF($F620="Datenbank (ecoinvent) | NUR UMSICHT","ecoinvent"))))))))</f>
        <v/>
      </c>
      <c r="H620" s="19"/>
      <c r="I620" s="19"/>
      <c r="J620" s="28"/>
      <c r="K620" s="28"/>
      <c r="L620" s="2"/>
      <c r="M620" s="78"/>
    </row>
    <row r="621" spans="1:14" x14ac:dyDescent="0.25">
      <c r="A621" s="71" t="s">
        <v>35</v>
      </c>
      <c r="B621" s="15"/>
      <c r="C621" s="73"/>
      <c r="D621" s="25"/>
      <c r="E621" s="78"/>
      <c r="F621" s="24"/>
      <c r="G621" s="24" t="str">
        <f t="shared" si="27"/>
        <v/>
      </c>
      <c r="H621" s="19"/>
      <c r="I621" s="19"/>
      <c r="J621" s="28"/>
      <c r="K621" s="28"/>
      <c r="L621" s="2"/>
      <c r="M621" s="78"/>
    </row>
    <row r="622" spans="1:14" x14ac:dyDescent="0.25">
      <c r="A622" s="4" t="s">
        <v>345</v>
      </c>
      <c r="B622" s="4" t="s">
        <v>37</v>
      </c>
      <c r="C622" s="73"/>
      <c r="D622" s="34"/>
      <c r="E622" s="78"/>
      <c r="F622" s="24"/>
      <c r="G622" s="24"/>
      <c r="H622" s="23"/>
      <c r="I622" s="23"/>
      <c r="J622" s="28"/>
      <c r="K622" s="28"/>
      <c r="L622" s="2"/>
      <c r="M622" s="78"/>
    </row>
    <row r="623" spans="1:14" ht="41.4" x14ac:dyDescent="0.25">
      <c r="A623" s="4" t="s">
        <v>342</v>
      </c>
      <c r="B623" s="4" t="s">
        <v>144</v>
      </c>
      <c r="C623" s="73">
        <f>7.8*C618</f>
        <v>15.6</v>
      </c>
      <c r="D623" s="34"/>
      <c r="E623" s="78" t="s">
        <v>343</v>
      </c>
      <c r="F623" s="24"/>
      <c r="G623" s="24"/>
      <c r="H623" s="19"/>
      <c r="I623" s="19"/>
      <c r="J623" s="28"/>
      <c r="K623" s="28"/>
      <c r="L623" s="2"/>
      <c r="M623" s="78" t="s">
        <v>236</v>
      </c>
    </row>
    <row r="624" spans="1:14" x14ac:dyDescent="0.25">
      <c r="A624" s="4" t="s">
        <v>346</v>
      </c>
      <c r="B624" s="4"/>
      <c r="C624" s="73"/>
      <c r="D624" s="34"/>
      <c r="E624" s="121" t="s">
        <v>241</v>
      </c>
      <c r="F624" s="24"/>
      <c r="G624" s="24"/>
      <c r="H624" s="19"/>
      <c r="I624" s="19"/>
      <c r="J624" s="28"/>
      <c r="K624" s="28"/>
      <c r="L624" s="2"/>
      <c r="M624" s="78"/>
    </row>
    <row r="625" spans="1:14" ht="41.4" x14ac:dyDescent="0.25">
      <c r="A625" s="2" t="s">
        <v>249</v>
      </c>
      <c r="B625" s="4" t="s">
        <v>344</v>
      </c>
      <c r="C625" s="23">
        <f>C619</f>
        <v>18</v>
      </c>
      <c r="D625" s="25"/>
      <c r="E625" s="78"/>
      <c r="F625" s="24"/>
      <c r="G625" s="24"/>
      <c r="H625" s="19"/>
      <c r="I625" s="19"/>
      <c r="J625" s="28"/>
      <c r="K625" s="28"/>
      <c r="L625" s="2"/>
      <c r="M625" s="78" t="s">
        <v>250</v>
      </c>
    </row>
    <row r="626" spans="1:14" ht="41.4" x14ac:dyDescent="0.25">
      <c r="A626" s="2" t="s">
        <v>254</v>
      </c>
      <c r="B626" s="3" t="s">
        <v>144</v>
      </c>
      <c r="C626" s="73">
        <f>C585</f>
        <v>1.3467199999999999</v>
      </c>
      <c r="D626" s="25"/>
      <c r="E626" s="78"/>
      <c r="F626" s="24"/>
      <c r="G626" s="24"/>
      <c r="H626" s="19"/>
      <c r="I626" s="19"/>
      <c r="J626" s="28"/>
      <c r="K626" s="28"/>
      <c r="L626" s="2"/>
      <c r="M626" s="78" t="s">
        <v>236</v>
      </c>
    </row>
    <row r="627" spans="1:14" s="6" customFormat="1" x14ac:dyDescent="0.25">
      <c r="A627" s="3"/>
      <c r="B627" s="4"/>
      <c r="C627" s="73"/>
      <c r="D627" s="34"/>
      <c r="E627" s="78"/>
      <c r="F627" s="24"/>
      <c r="G627" s="24"/>
      <c r="H627" s="23"/>
      <c r="I627" s="23"/>
      <c r="J627" s="28"/>
      <c r="K627" s="28"/>
      <c r="L627" s="2"/>
      <c r="M627" s="78"/>
      <c r="N627" s="1"/>
    </row>
    <row r="628" spans="1:14" s="6" customFormat="1" x14ac:dyDescent="0.25">
      <c r="A628" s="97" t="s">
        <v>259</v>
      </c>
      <c r="B628" s="4"/>
      <c r="C628" s="73"/>
      <c r="D628" s="25"/>
      <c r="E628" s="78"/>
      <c r="F628" s="24"/>
      <c r="G628" s="24"/>
      <c r="H628" s="19"/>
      <c r="I628" s="19"/>
      <c r="J628" s="14"/>
      <c r="K628" s="14"/>
      <c r="L628" s="2"/>
      <c r="M628" s="78"/>
      <c r="N628" s="1"/>
    </row>
    <row r="629" spans="1:14" s="6" customFormat="1" x14ac:dyDescent="0.25">
      <c r="A629" s="4"/>
      <c r="B629" s="3"/>
      <c r="C629" s="73"/>
      <c r="D629" s="33"/>
      <c r="E629" s="78"/>
      <c r="F629" s="24"/>
      <c r="G629" s="24"/>
      <c r="H629" s="19"/>
      <c r="I629" s="19"/>
      <c r="J629" s="49"/>
      <c r="K629" s="49"/>
      <c r="L629" s="2"/>
      <c r="M629" s="78"/>
    </row>
    <row r="630" spans="1:14" ht="15.75" customHeight="1" x14ac:dyDescent="0.25">
      <c r="A630" s="16"/>
      <c r="B630" s="15"/>
      <c r="C630" s="73"/>
      <c r="D630" s="25"/>
      <c r="E630" s="78"/>
      <c r="F630" s="24"/>
      <c r="G630" s="24" t="str">
        <f t="shared" ref="G630" si="30">IF($F630="","",IF($F630="Gemessen","sehr gut",IF($F630="Berechnet","gut",IF($F630="Literaturwert","befriedigend",IF($F630="Geschätzt","schlecht",IF($F630="Keine Angabe","nicht erhoben",IF($F630="Datenbank (Gabi) | NUR UMSICHT","GaBi",IF($F630="Datenbank (ecoinvent) | NUR UMSICHT","ecoinvent"))))))))</f>
        <v/>
      </c>
      <c r="H630" s="19"/>
      <c r="I630" s="19"/>
      <c r="J630" s="28"/>
      <c r="K630" s="28"/>
      <c r="L630" s="2"/>
      <c r="M630" s="78"/>
    </row>
    <row r="631" spans="1:14" ht="41.4" x14ac:dyDescent="0.25">
      <c r="A631" s="10" t="s">
        <v>282</v>
      </c>
      <c r="B631" s="11" t="s">
        <v>10</v>
      </c>
      <c r="C631" s="89" t="s">
        <v>1</v>
      </c>
      <c r="D631" s="11" t="s">
        <v>11</v>
      </c>
      <c r="E631" s="10" t="s">
        <v>12</v>
      </c>
      <c r="F631" s="35" t="s">
        <v>13</v>
      </c>
      <c r="G631" s="35" t="s">
        <v>14</v>
      </c>
      <c r="H631" s="35" t="s">
        <v>15</v>
      </c>
      <c r="I631" s="18" t="s">
        <v>16</v>
      </c>
      <c r="J631" s="18" t="s">
        <v>17</v>
      </c>
      <c r="K631" s="18" t="s">
        <v>18</v>
      </c>
      <c r="L631" s="11" t="s">
        <v>19</v>
      </c>
      <c r="M631" s="10" t="s">
        <v>113</v>
      </c>
    </row>
    <row r="632" spans="1:14" x14ac:dyDescent="0.25">
      <c r="A632" s="66" t="s">
        <v>177</v>
      </c>
      <c r="B632" s="216" t="s">
        <v>347</v>
      </c>
      <c r="C632" s="217"/>
      <c r="D632" s="217"/>
      <c r="E632" s="218"/>
      <c r="F632" s="95"/>
      <c r="G632" s="95"/>
      <c r="H632" s="95"/>
      <c r="I632" s="96"/>
      <c r="J632" s="96"/>
      <c r="K632" s="96"/>
      <c r="L632" s="87"/>
      <c r="M632" s="66"/>
    </row>
    <row r="633" spans="1:14" ht="27.6" x14ac:dyDescent="0.25">
      <c r="A633" s="66" t="s">
        <v>22</v>
      </c>
      <c r="B633" s="87"/>
      <c r="C633" s="93">
        <v>3</v>
      </c>
      <c r="D633" s="87"/>
      <c r="E633" s="66" t="s">
        <v>284</v>
      </c>
      <c r="F633" s="95"/>
      <c r="G633" s="95"/>
      <c r="H633" s="95"/>
      <c r="I633" s="96"/>
      <c r="J633" s="96"/>
      <c r="K633" s="96"/>
      <c r="L633" s="87"/>
      <c r="M633" s="66"/>
    </row>
    <row r="634" spans="1:14" ht="41.4" x14ac:dyDescent="0.25">
      <c r="A634" s="66" t="s">
        <v>25</v>
      </c>
      <c r="B634" s="87" t="s">
        <v>115</v>
      </c>
      <c r="C634" s="93">
        <v>156</v>
      </c>
      <c r="D634" s="87"/>
      <c r="E634" s="87" t="s">
        <v>285</v>
      </c>
      <c r="F634" s="95"/>
      <c r="G634" s="95"/>
      <c r="H634" s="95"/>
      <c r="I634" s="96"/>
      <c r="J634" s="96"/>
      <c r="K634" s="96"/>
      <c r="L634" s="87"/>
      <c r="M634" s="87"/>
    </row>
    <row r="635" spans="1:14" x14ac:dyDescent="0.25">
      <c r="A635" s="46" t="s">
        <v>26</v>
      </c>
      <c r="B635" s="15"/>
      <c r="C635" s="73"/>
      <c r="D635" s="34"/>
      <c r="E635" s="78"/>
      <c r="F635" s="24"/>
      <c r="G635" s="24" t="str">
        <f t="shared" ref="G635:G651" si="31">IF($F635="","",IF($F635="Gemessen","sehr gut",IF($F635="Berechnet","gut",IF($F635="Literaturwert","befriedigend",IF($F635="Geschätzt","schlecht",IF($F635="Keine Angabe","nicht erhoben",IF($F635="Datenbank (Gabi) | NUR UMSICHT","GaBi",IF($F635="Datenbank (ecoinvent) | NUR UMSICHT","ecoinvent"))))))))</f>
        <v/>
      </c>
      <c r="H635" s="19"/>
      <c r="I635" s="19"/>
      <c r="J635" s="28"/>
      <c r="K635" s="28"/>
      <c r="L635" s="2"/>
      <c r="M635" s="78"/>
    </row>
    <row r="636" spans="1:14" x14ac:dyDescent="0.25">
      <c r="A636" s="4" t="s">
        <v>348</v>
      </c>
      <c r="B636" s="4" t="s">
        <v>39</v>
      </c>
      <c r="C636" s="73">
        <v>1</v>
      </c>
      <c r="D636" s="34"/>
      <c r="E636" s="78"/>
      <c r="F636" s="24"/>
      <c r="G636" s="24"/>
      <c r="H636" s="19"/>
      <c r="I636" s="19"/>
      <c r="J636" s="28"/>
      <c r="K636" s="28"/>
      <c r="L636" s="2"/>
      <c r="M636" s="78"/>
    </row>
    <row r="637" spans="1:14" ht="29.4" x14ac:dyDescent="0.25">
      <c r="A637" s="4" t="s">
        <v>130</v>
      </c>
      <c r="B637" s="4" t="s">
        <v>131</v>
      </c>
      <c r="C637" s="23">
        <f>(4/26280000)*156</f>
        <v>2.3744292237442922E-5</v>
      </c>
      <c r="D637" s="145">
        <v>2.3744292237442899E-5</v>
      </c>
      <c r="E637" s="78" t="s">
        <v>181</v>
      </c>
      <c r="F637" s="25"/>
      <c r="G637" s="24"/>
      <c r="H637" s="19"/>
      <c r="I637" s="25"/>
      <c r="J637" s="55"/>
      <c r="K637" s="55"/>
      <c r="L637" s="2"/>
      <c r="M637" s="78"/>
    </row>
    <row r="638" spans="1:14" x14ac:dyDescent="0.25">
      <c r="A638" s="4" t="s">
        <v>134</v>
      </c>
      <c r="B638" s="4" t="s">
        <v>125</v>
      </c>
      <c r="C638" s="23">
        <f>($C$558/276)*C634</f>
        <v>2.1666666666666667E-2</v>
      </c>
      <c r="D638" s="146"/>
      <c r="E638" s="78" t="s">
        <v>135</v>
      </c>
      <c r="F638" s="25"/>
      <c r="G638" s="24"/>
      <c r="H638" s="19"/>
      <c r="I638" s="25"/>
      <c r="J638" s="55"/>
      <c r="K638" s="55"/>
      <c r="L638" s="2"/>
      <c r="M638" s="78"/>
    </row>
    <row r="639" spans="1:14" x14ac:dyDescent="0.25">
      <c r="A639" s="4" t="s">
        <v>286</v>
      </c>
      <c r="B639" s="4" t="s">
        <v>33</v>
      </c>
      <c r="C639" s="78"/>
      <c r="D639" s="167">
        <v>5.8000000000000003E-2</v>
      </c>
      <c r="E639" s="78" t="s">
        <v>287</v>
      </c>
      <c r="F639" s="24"/>
      <c r="G639" s="24"/>
      <c r="H639" s="19"/>
      <c r="I639" s="19"/>
      <c r="J639" s="28"/>
      <c r="K639" s="28"/>
      <c r="L639" s="2"/>
      <c r="M639" s="78"/>
    </row>
    <row r="640" spans="1:14" ht="27.6" x14ac:dyDescent="0.25">
      <c r="A640" s="4" t="s">
        <v>288</v>
      </c>
      <c r="B640" s="4" t="s">
        <v>33</v>
      </c>
      <c r="C640" s="165">
        <f>Allokationen!E27</f>
        <v>12.859044591149381</v>
      </c>
      <c r="D640" s="78"/>
      <c r="E640" s="78" t="s">
        <v>349</v>
      </c>
      <c r="F640" s="24"/>
      <c r="G640" s="24"/>
      <c r="H640" s="19"/>
      <c r="I640" s="19"/>
      <c r="J640" s="28"/>
      <c r="K640" s="28"/>
      <c r="L640" s="2"/>
      <c r="M640" s="78"/>
    </row>
    <row r="641" spans="1:14" ht="27.6" x14ac:dyDescent="0.25">
      <c r="A641" s="4" t="s">
        <v>290</v>
      </c>
      <c r="B641" s="4" t="s">
        <v>33</v>
      </c>
      <c r="C641" s="165">
        <f>Allokationen!F27</f>
        <v>35.567570145732333</v>
      </c>
      <c r="D641" s="78"/>
      <c r="E641" s="78" t="s">
        <v>349</v>
      </c>
      <c r="F641" s="24"/>
      <c r="G641" s="24"/>
      <c r="H641" s="19"/>
      <c r="I641" s="19"/>
      <c r="J641" s="28"/>
      <c r="K641" s="28"/>
      <c r="L641" s="2"/>
      <c r="M641" s="78"/>
    </row>
    <row r="642" spans="1:14" ht="151.80000000000001" x14ac:dyDescent="0.25">
      <c r="A642" s="4" t="s">
        <v>291</v>
      </c>
      <c r="B642" s="4" t="s">
        <v>188</v>
      </c>
      <c r="C642" s="73">
        <f>16.8*300</f>
        <v>5040</v>
      </c>
      <c r="D642" s="34"/>
      <c r="E642" s="78" t="s">
        <v>292</v>
      </c>
      <c r="F642" s="24"/>
      <c r="G642" s="24"/>
      <c r="H642" s="19"/>
      <c r="I642" s="19"/>
      <c r="J642" s="28"/>
      <c r="K642" s="28"/>
      <c r="L642" s="2"/>
      <c r="M642" s="78" t="s">
        <v>190</v>
      </c>
    </row>
    <row r="643" spans="1:14" ht="41.4" x14ac:dyDescent="0.25">
      <c r="A643" s="4" t="s">
        <v>293</v>
      </c>
      <c r="B643" s="4" t="s">
        <v>350</v>
      </c>
      <c r="C643" s="73">
        <f>((80*1+15*2+3*3+2*4)/100)*15.5</f>
        <v>19.684999999999999</v>
      </c>
      <c r="D643" s="34"/>
      <c r="E643" s="78" t="s">
        <v>294</v>
      </c>
      <c r="F643" s="24"/>
      <c r="G643" s="24"/>
      <c r="H643" s="19"/>
      <c r="I643" s="19"/>
      <c r="J643" s="28"/>
      <c r="K643" s="28"/>
      <c r="L643" s="2"/>
      <c r="M643" s="78"/>
    </row>
    <row r="644" spans="1:14" ht="151.80000000000001" x14ac:dyDescent="0.25">
      <c r="A644" s="4" t="s">
        <v>86</v>
      </c>
      <c r="B644" s="4" t="s">
        <v>295</v>
      </c>
      <c r="C644" s="73">
        <v>300</v>
      </c>
      <c r="D644" s="34"/>
      <c r="E644" s="78" t="s">
        <v>296</v>
      </c>
      <c r="F644" s="24"/>
      <c r="G644" s="24"/>
      <c r="H644" s="19"/>
      <c r="I644" s="19"/>
      <c r="J644" s="28"/>
      <c r="K644" s="28"/>
      <c r="L644" s="2"/>
      <c r="M644" s="78"/>
    </row>
    <row r="645" spans="1:14" ht="55.2" x14ac:dyDescent="0.25">
      <c r="A645" s="4" t="s">
        <v>297</v>
      </c>
      <c r="B645" s="4" t="s">
        <v>295</v>
      </c>
      <c r="C645" s="73">
        <v>250</v>
      </c>
      <c r="D645" s="34"/>
      <c r="E645" s="78" t="s">
        <v>298</v>
      </c>
      <c r="F645" s="24"/>
      <c r="G645" s="24"/>
      <c r="H645" s="19"/>
      <c r="I645" s="19"/>
      <c r="J645" s="28"/>
      <c r="K645" s="28"/>
      <c r="L645" s="2"/>
      <c r="M645" s="78"/>
    </row>
    <row r="646" spans="1:14" ht="96.6" x14ac:dyDescent="0.25">
      <c r="A646" s="4" t="s">
        <v>299</v>
      </c>
      <c r="B646" s="4" t="s">
        <v>144</v>
      </c>
      <c r="C646" s="73">
        <f>124/10</f>
        <v>12.4</v>
      </c>
      <c r="D646" s="34"/>
      <c r="E646" s="78" t="s">
        <v>300</v>
      </c>
      <c r="F646" s="24"/>
      <c r="G646" s="24"/>
      <c r="H646" s="19"/>
      <c r="I646" s="19"/>
      <c r="J646" s="28"/>
      <c r="K646" s="28"/>
      <c r="L646" s="2"/>
      <c r="M646" s="78" t="s">
        <v>301</v>
      </c>
    </row>
    <row r="647" spans="1:14" ht="69" x14ac:dyDescent="0.25">
      <c r="A647" s="2" t="s">
        <v>302</v>
      </c>
      <c r="B647" s="4" t="s">
        <v>144</v>
      </c>
      <c r="C647" s="34">
        <f>1/(8*21*2)*1000</f>
        <v>2.9761904761904758</v>
      </c>
      <c r="D647" s="34"/>
      <c r="E647" s="78" t="s">
        <v>351</v>
      </c>
      <c r="F647" s="24"/>
      <c r="G647" s="24"/>
      <c r="H647" s="19"/>
      <c r="I647" s="19"/>
      <c r="J647" s="28"/>
      <c r="K647" s="28"/>
      <c r="L647" s="2"/>
      <c r="M647" s="78"/>
    </row>
    <row r="648" spans="1:14" x14ac:dyDescent="0.25">
      <c r="A648" s="2" t="s">
        <v>304</v>
      </c>
      <c r="B648" s="4" t="s">
        <v>144</v>
      </c>
      <c r="C648" s="34">
        <f>1/(8*21*2)*1000</f>
        <v>2.9761904761904758</v>
      </c>
      <c r="D648" s="34"/>
      <c r="E648" s="78"/>
      <c r="F648" s="24"/>
      <c r="G648" s="24"/>
      <c r="H648" s="19"/>
      <c r="I648" s="19"/>
      <c r="J648" s="28"/>
      <c r="K648" s="28"/>
      <c r="L648" s="2"/>
      <c r="M648" s="78" t="s">
        <v>352</v>
      </c>
    </row>
    <row r="649" spans="1:14" x14ac:dyDescent="0.25">
      <c r="A649" s="2"/>
      <c r="B649" s="4"/>
      <c r="C649" s="73"/>
      <c r="D649" s="34"/>
      <c r="E649" s="78"/>
      <c r="F649" s="24"/>
      <c r="G649" s="24"/>
      <c r="H649" s="19"/>
      <c r="I649" s="19"/>
      <c r="J649" s="28"/>
      <c r="K649" s="28"/>
      <c r="L649" s="2"/>
      <c r="M649" s="78"/>
    </row>
    <row r="650" spans="1:14" x14ac:dyDescent="0.25">
      <c r="A650" s="71" t="s">
        <v>35</v>
      </c>
      <c r="B650" s="4"/>
      <c r="C650" s="73"/>
      <c r="D650" s="25"/>
      <c r="E650" s="78"/>
      <c r="F650" s="24"/>
      <c r="G650" s="24"/>
      <c r="H650" s="19"/>
      <c r="I650" s="19"/>
      <c r="J650" s="28"/>
      <c r="K650" s="28"/>
      <c r="L650" s="2"/>
      <c r="M650" s="78"/>
    </row>
    <row r="651" spans="1:14" x14ac:dyDescent="0.25">
      <c r="A651" s="2" t="s">
        <v>93</v>
      </c>
      <c r="B651" s="4" t="s">
        <v>37</v>
      </c>
      <c r="C651" s="73">
        <v>1</v>
      </c>
      <c r="D651" s="25"/>
      <c r="E651" s="78"/>
      <c r="F651" s="24"/>
      <c r="G651" s="24" t="str">
        <f t="shared" si="31"/>
        <v/>
      </c>
      <c r="H651" s="19"/>
      <c r="I651" s="19"/>
      <c r="J651" s="28"/>
      <c r="K651" s="28"/>
      <c r="L651" s="2"/>
      <c r="M651" s="78"/>
    </row>
    <row r="652" spans="1:14" ht="55.2" x14ac:dyDescent="0.25">
      <c r="A652" s="2" t="s">
        <v>306</v>
      </c>
      <c r="B652" s="4" t="s">
        <v>156</v>
      </c>
      <c r="C652" s="73">
        <f>C643</f>
        <v>19.684999999999999</v>
      </c>
      <c r="D652" s="25"/>
      <c r="E652" s="78"/>
      <c r="F652" s="24"/>
      <c r="G652" s="24"/>
      <c r="H652" s="19"/>
      <c r="I652" s="19"/>
      <c r="J652" s="28"/>
      <c r="K652" s="28"/>
      <c r="L652" s="2"/>
      <c r="M652" s="78" t="s">
        <v>253</v>
      </c>
    </row>
    <row r="653" spans="1:14" ht="55.2" x14ac:dyDescent="0.25">
      <c r="A653" s="4" t="s">
        <v>312</v>
      </c>
      <c r="B653" s="4" t="s">
        <v>144</v>
      </c>
      <c r="C653" s="23">
        <f>C646</f>
        <v>12.4</v>
      </c>
      <c r="D653" s="34"/>
      <c r="E653" s="78" t="s">
        <v>311</v>
      </c>
      <c r="F653" s="24"/>
      <c r="G653" s="24"/>
      <c r="H653" s="19"/>
      <c r="I653" s="19"/>
      <c r="J653" s="28"/>
      <c r="K653" s="28"/>
      <c r="L653" s="2"/>
      <c r="M653" s="78" t="s">
        <v>253</v>
      </c>
    </row>
    <row r="654" spans="1:14" ht="301.5" customHeight="1" thickBot="1" x14ac:dyDescent="0.3">
      <c r="A654" s="4" t="s">
        <v>255</v>
      </c>
      <c r="B654" s="4" t="s">
        <v>156</v>
      </c>
      <c r="C654" s="23">
        <f>0.1* (((C644/1.028)/1000)*850+((C645/0.982)/1000)*650)</f>
        <v>41.353308977945431</v>
      </c>
      <c r="D654" s="34"/>
      <c r="E654" s="174" t="s">
        <v>313</v>
      </c>
      <c r="F654" s="175" t="s">
        <v>257</v>
      </c>
      <c r="G654" s="24"/>
      <c r="H654" s="23"/>
      <c r="I654" s="23"/>
      <c r="J654" s="176"/>
      <c r="K654" s="176"/>
      <c r="L654" s="113"/>
      <c r="M654" s="78"/>
      <c r="N654" s="177" t="s">
        <v>258</v>
      </c>
    </row>
    <row r="655" spans="1:14" x14ac:dyDescent="0.25">
      <c r="A655" s="2"/>
      <c r="B655" s="3"/>
      <c r="C655" s="73"/>
      <c r="D655" s="25"/>
      <c r="E655" s="78"/>
      <c r="F655" s="24"/>
      <c r="G655" s="24"/>
      <c r="H655" s="19"/>
      <c r="I655" s="19"/>
      <c r="J655" s="28"/>
      <c r="K655" s="28"/>
      <c r="L655" s="2"/>
      <c r="M655" s="78"/>
    </row>
    <row r="656" spans="1:14" x14ac:dyDescent="0.25">
      <c r="A656" s="71" t="s">
        <v>259</v>
      </c>
      <c r="B656" s="3"/>
      <c r="C656" s="73"/>
      <c r="D656" s="25"/>
      <c r="E656" s="78"/>
      <c r="F656" s="24"/>
      <c r="G656" s="24"/>
      <c r="H656" s="19"/>
      <c r="I656" s="19"/>
      <c r="J656" s="28"/>
      <c r="K656" s="28"/>
      <c r="L656" s="2"/>
      <c r="M656" s="78"/>
    </row>
    <row r="657" spans="1:14" x14ac:dyDescent="0.25">
      <c r="A657" s="2" t="s">
        <v>314</v>
      </c>
      <c r="B657" s="3"/>
      <c r="C657" s="73"/>
      <c r="D657" s="25"/>
      <c r="E657" s="78"/>
      <c r="F657" s="24"/>
      <c r="G657" s="24"/>
      <c r="H657" s="19"/>
      <c r="I657" s="19"/>
      <c r="J657" s="28"/>
      <c r="K657" s="28"/>
      <c r="L657" s="2"/>
      <c r="M657" s="78"/>
    </row>
    <row r="658" spans="1:14" x14ac:dyDescent="0.25">
      <c r="A658" s="2" t="s">
        <v>315</v>
      </c>
      <c r="B658" s="3"/>
      <c r="C658" s="73"/>
      <c r="D658" s="25"/>
      <c r="E658" s="78"/>
      <c r="F658" s="24"/>
      <c r="G658" s="24"/>
      <c r="H658" s="19"/>
      <c r="I658" s="19"/>
      <c r="J658" s="28"/>
      <c r="K658" s="28"/>
      <c r="L658" s="2"/>
      <c r="M658" s="78"/>
    </row>
    <row r="659" spans="1:14" x14ac:dyDescent="0.25">
      <c r="A659" s="2" t="s">
        <v>316</v>
      </c>
      <c r="B659" s="3"/>
      <c r="C659" s="73"/>
      <c r="D659" s="25"/>
      <c r="E659" s="78"/>
      <c r="F659" s="24"/>
      <c r="G659" s="24"/>
      <c r="H659" s="19"/>
      <c r="I659" s="19"/>
      <c r="J659" s="28"/>
      <c r="K659" s="28"/>
      <c r="L659" s="2"/>
      <c r="M659" s="78"/>
    </row>
    <row r="660" spans="1:14" s="6" customFormat="1" x14ac:dyDescent="0.25">
      <c r="A660" s="2" t="s">
        <v>317</v>
      </c>
      <c r="B660" s="3"/>
      <c r="C660" s="73"/>
      <c r="D660" s="25"/>
      <c r="E660" s="78"/>
      <c r="F660" s="24"/>
      <c r="G660" s="24"/>
      <c r="H660" s="19"/>
      <c r="I660" s="19"/>
      <c r="J660" s="28"/>
      <c r="K660" s="28"/>
      <c r="L660" s="2"/>
      <c r="M660" s="78"/>
      <c r="N660" s="1"/>
    </row>
    <row r="661" spans="1:14" s="6" customFormat="1" ht="41.4" x14ac:dyDescent="0.25">
      <c r="A661" s="70" t="s">
        <v>318</v>
      </c>
      <c r="B661" s="4"/>
      <c r="C661" s="73"/>
      <c r="D661" s="25"/>
      <c r="E661" s="78" t="s">
        <v>319</v>
      </c>
      <c r="F661" s="24"/>
      <c r="G661" s="24"/>
      <c r="H661" s="19"/>
      <c r="I661" s="19"/>
      <c r="J661" s="14"/>
      <c r="K661" s="14"/>
      <c r="L661" s="2"/>
      <c r="M661" s="78"/>
      <c r="N661" s="1"/>
    </row>
    <row r="662" spans="1:14" s="6" customFormat="1" x14ac:dyDescent="0.25">
      <c r="A662" s="4" t="s">
        <v>320</v>
      </c>
      <c r="B662" s="3"/>
      <c r="C662" s="73"/>
      <c r="D662" s="33"/>
      <c r="E662" s="78"/>
      <c r="F662" s="24"/>
      <c r="G662" s="24"/>
      <c r="H662" s="19"/>
      <c r="I662" s="19"/>
      <c r="J662" s="49"/>
      <c r="K662" s="49"/>
      <c r="L662" s="2"/>
      <c r="M662" s="78"/>
    </row>
    <row r="663" spans="1:14" s="6" customFormat="1" x14ac:dyDescent="0.25">
      <c r="A663" s="4"/>
      <c r="B663" s="3"/>
      <c r="C663" s="73"/>
      <c r="D663" s="33"/>
      <c r="E663" s="78"/>
      <c r="F663" s="24"/>
      <c r="G663" s="24"/>
      <c r="H663" s="19"/>
      <c r="I663" s="19"/>
      <c r="J663" s="49"/>
      <c r="K663" s="49"/>
      <c r="L663" s="2"/>
      <c r="M663" s="78"/>
    </row>
    <row r="664" spans="1:14" s="6" customFormat="1" x14ac:dyDescent="0.25">
      <c r="A664" s="4"/>
      <c r="B664" s="3"/>
      <c r="C664" s="73"/>
      <c r="D664" s="33"/>
      <c r="E664" s="78"/>
      <c r="F664" s="24"/>
      <c r="G664" s="24"/>
      <c r="H664" s="19"/>
      <c r="I664" s="19"/>
      <c r="J664" s="49"/>
      <c r="K664" s="49"/>
      <c r="L664" s="2"/>
      <c r="M664" s="78"/>
    </row>
    <row r="665" spans="1:14" s="6" customFormat="1" x14ac:dyDescent="0.25">
      <c r="A665" s="4"/>
      <c r="B665" s="3"/>
      <c r="C665" s="73"/>
      <c r="D665" s="33"/>
      <c r="E665" s="78"/>
      <c r="F665" s="24"/>
      <c r="G665" s="24"/>
      <c r="H665" s="19"/>
      <c r="I665" s="19"/>
      <c r="J665" s="49"/>
      <c r="K665" s="49"/>
      <c r="L665" s="2"/>
      <c r="M665" s="78"/>
    </row>
    <row r="666" spans="1:14" x14ac:dyDescent="0.25">
      <c r="A666" s="4"/>
      <c r="B666" s="3"/>
      <c r="C666" s="73"/>
      <c r="D666" s="33"/>
      <c r="E666" s="78"/>
      <c r="F666" s="24"/>
      <c r="G666" s="24"/>
      <c r="H666" s="19"/>
      <c r="I666" s="19"/>
      <c r="J666" s="49"/>
      <c r="K666" s="49"/>
      <c r="L666" s="2"/>
      <c r="M666" s="78"/>
      <c r="N666" s="6"/>
    </row>
    <row r="667" spans="1:14" s="86" customFormat="1" x14ac:dyDescent="0.25">
      <c r="A667" s="4"/>
      <c r="B667" s="3"/>
      <c r="C667" s="73"/>
      <c r="D667" s="33"/>
      <c r="E667" s="78"/>
      <c r="F667" s="24"/>
      <c r="G667" s="24"/>
      <c r="H667" s="19"/>
      <c r="I667" s="19"/>
      <c r="J667" s="49"/>
      <c r="K667" s="49"/>
      <c r="L667" s="2"/>
      <c r="M667" s="78"/>
      <c r="N667" s="6"/>
    </row>
    <row r="668" spans="1:14" s="86" customFormat="1" ht="41.4" x14ac:dyDescent="0.25">
      <c r="A668" s="10" t="s">
        <v>321</v>
      </c>
      <c r="B668" s="11" t="s">
        <v>10</v>
      </c>
      <c r="C668" s="89" t="s">
        <v>1</v>
      </c>
      <c r="D668" s="11" t="s">
        <v>11</v>
      </c>
      <c r="E668" s="10" t="s">
        <v>12</v>
      </c>
      <c r="F668" s="35" t="s">
        <v>13</v>
      </c>
      <c r="G668" s="35" t="s">
        <v>14</v>
      </c>
      <c r="H668" s="35" t="s">
        <v>15</v>
      </c>
      <c r="I668" s="18" t="s">
        <v>16</v>
      </c>
      <c r="J668" s="18" t="s">
        <v>17</v>
      </c>
      <c r="K668" s="18" t="s">
        <v>18</v>
      </c>
      <c r="L668" s="11" t="s">
        <v>19</v>
      </c>
      <c r="M668" s="10" t="s">
        <v>113</v>
      </c>
      <c r="N668" s="1"/>
    </row>
    <row r="669" spans="1:14" s="86" customFormat="1" x14ac:dyDescent="0.25">
      <c r="A669" s="66" t="s">
        <v>177</v>
      </c>
      <c r="B669" s="216" t="s">
        <v>353</v>
      </c>
      <c r="C669" s="217"/>
      <c r="D669" s="217"/>
      <c r="E669" s="218"/>
      <c r="F669" s="95"/>
      <c r="G669" s="95"/>
      <c r="H669" s="95"/>
      <c r="I669" s="96"/>
      <c r="J669" s="96"/>
      <c r="K669" s="96"/>
      <c r="L669" s="87"/>
      <c r="M669" s="66"/>
      <c r="N669" s="1"/>
    </row>
    <row r="670" spans="1:14" x14ac:dyDescent="0.25">
      <c r="A670" s="66" t="s">
        <v>22</v>
      </c>
      <c r="B670" s="87"/>
      <c r="C670" s="93">
        <v>1</v>
      </c>
      <c r="D670" s="87"/>
      <c r="E670" s="66"/>
      <c r="F670" s="95"/>
      <c r="G670" s="95"/>
      <c r="H670" s="95"/>
      <c r="I670" s="96"/>
      <c r="J670" s="96"/>
      <c r="K670" s="96"/>
      <c r="L670" s="87"/>
      <c r="M670" s="66"/>
    </row>
    <row r="671" spans="1:14" x14ac:dyDescent="0.25">
      <c r="A671" s="66" t="s">
        <v>25</v>
      </c>
      <c r="B671" s="87" t="s">
        <v>115</v>
      </c>
      <c r="C671" s="93">
        <v>60</v>
      </c>
      <c r="D671" s="87"/>
      <c r="E671" s="66" t="s">
        <v>324</v>
      </c>
      <c r="F671" s="95"/>
      <c r="G671" s="95"/>
      <c r="H671" s="95"/>
      <c r="I671" s="96"/>
      <c r="J671" s="96"/>
      <c r="K671" s="96"/>
      <c r="L671" s="87"/>
      <c r="M671" s="66"/>
    </row>
    <row r="672" spans="1:14" x14ac:dyDescent="0.25">
      <c r="A672" s="46" t="s">
        <v>26</v>
      </c>
      <c r="B672" s="15"/>
      <c r="C672" s="73"/>
      <c r="D672" s="34"/>
      <c r="E672" s="78"/>
      <c r="F672" s="24"/>
      <c r="G672" s="24" t="str">
        <f t="shared" ref="G672" si="32">IF($F672="","",IF($F672="Gemessen","sehr gut",IF($F672="Berechnet","gut",IF($F672="Literaturwert","befriedigend",IF($F672="Geschätzt","schlecht",IF($F672="Keine Angabe","nicht erhoben",IF($F672="Datenbank (Gabi) | NUR UMSICHT","GaBi",IF($F672="Datenbank (ecoinvent) | NUR UMSICHT","ecoinvent"))))))))</f>
        <v/>
      </c>
      <c r="H672" s="19"/>
      <c r="I672" s="19"/>
      <c r="J672" s="28"/>
      <c r="K672" s="28"/>
      <c r="L672" s="2"/>
      <c r="M672" s="78"/>
    </row>
    <row r="673" spans="1:14" x14ac:dyDescent="0.25">
      <c r="A673" s="2" t="s">
        <v>47</v>
      </c>
      <c r="B673" s="4" t="s">
        <v>39</v>
      </c>
      <c r="C673" s="73">
        <v>1</v>
      </c>
      <c r="D673" s="34"/>
      <c r="E673" s="78"/>
      <c r="F673" s="24"/>
      <c r="G673" s="24"/>
      <c r="H673" s="19"/>
      <c r="I673" s="19"/>
      <c r="J673" s="28"/>
      <c r="K673" s="28"/>
      <c r="L673" s="2"/>
      <c r="M673" s="78"/>
    </row>
    <row r="674" spans="1:14" x14ac:dyDescent="0.25">
      <c r="A674" s="4" t="s">
        <v>103</v>
      </c>
      <c r="B674" s="4" t="s">
        <v>39</v>
      </c>
      <c r="C674" s="73">
        <v>1</v>
      </c>
      <c r="D674" s="34"/>
      <c r="E674" s="78"/>
      <c r="F674" s="24"/>
      <c r="G674" s="24"/>
      <c r="H674" s="19"/>
      <c r="I674" s="19"/>
      <c r="J674" s="28"/>
      <c r="K674" s="28"/>
      <c r="L674" s="2"/>
      <c r="M674" s="78"/>
    </row>
    <row r="675" spans="1:14" x14ac:dyDescent="0.25">
      <c r="A675" s="4" t="s">
        <v>354</v>
      </c>
      <c r="B675" s="4" t="s">
        <v>39</v>
      </c>
      <c r="C675" s="73">
        <v>1</v>
      </c>
      <c r="D675" s="34"/>
      <c r="E675" s="78"/>
      <c r="F675" s="24"/>
      <c r="G675" s="24"/>
      <c r="H675" s="19"/>
      <c r="I675" s="19"/>
      <c r="J675" s="28"/>
      <c r="K675" s="28"/>
      <c r="L675" s="2"/>
      <c r="M675" s="78"/>
    </row>
    <row r="676" spans="1:14" ht="29.4" x14ac:dyDescent="0.25">
      <c r="A676" s="4" t="s">
        <v>130</v>
      </c>
      <c r="B676" s="4" t="s">
        <v>131</v>
      </c>
      <c r="C676" s="23">
        <f>(20/26280000)*60</f>
        <v>4.5662100456621006E-5</v>
      </c>
      <c r="D676" s="145"/>
      <c r="E676" s="78" t="s">
        <v>325</v>
      </c>
      <c r="F676" s="25"/>
      <c r="G676" s="24"/>
      <c r="H676" s="19"/>
      <c r="I676" s="25"/>
      <c r="J676" s="55"/>
      <c r="K676" s="55"/>
      <c r="L676" s="2"/>
      <c r="M676" s="78"/>
    </row>
    <row r="677" spans="1:14" x14ac:dyDescent="0.25">
      <c r="A677" s="4" t="s">
        <v>134</v>
      </c>
      <c r="B677" s="4" t="s">
        <v>125</v>
      </c>
      <c r="C677" s="23">
        <f>($C$558/276)*C671</f>
        <v>8.3333333333333332E-3</v>
      </c>
      <c r="D677" s="146"/>
      <c r="E677" s="78" t="s">
        <v>135</v>
      </c>
      <c r="F677" s="25"/>
      <c r="G677" s="24"/>
      <c r="H677" s="19"/>
      <c r="I677" s="25"/>
      <c r="J677" s="55"/>
      <c r="K677" s="55"/>
      <c r="L677" s="2"/>
      <c r="M677" s="78"/>
    </row>
    <row r="678" spans="1:14" x14ac:dyDescent="0.25">
      <c r="A678" s="2" t="s">
        <v>136</v>
      </c>
      <c r="B678" s="4" t="s">
        <v>33</v>
      </c>
      <c r="C678" s="165">
        <f>Allokationen!E28</f>
        <v>4.1583352977074259</v>
      </c>
      <c r="D678" s="25"/>
      <c r="E678" s="78"/>
      <c r="F678" s="24"/>
      <c r="G678" s="24"/>
      <c r="H678" s="19"/>
      <c r="I678" s="19"/>
      <c r="J678" s="14"/>
      <c r="K678" s="14"/>
      <c r="L678" s="2"/>
      <c r="M678" s="78"/>
    </row>
    <row r="679" spans="1:14" s="6" customFormat="1" x14ac:dyDescent="0.25">
      <c r="A679" s="70" t="s">
        <v>138</v>
      </c>
      <c r="B679" s="4" t="s">
        <v>33</v>
      </c>
      <c r="C679" s="165">
        <f>Allokationen!F28</f>
        <v>11.501778483020541</v>
      </c>
      <c r="D679" s="25"/>
      <c r="E679" s="78"/>
      <c r="F679" s="24"/>
      <c r="G679" s="24"/>
      <c r="H679" s="19"/>
      <c r="I679" s="19"/>
      <c r="J679" s="14"/>
      <c r="K679" s="14"/>
      <c r="L679" s="2"/>
      <c r="M679" s="78"/>
      <c r="N679" s="1"/>
    </row>
    <row r="680" spans="1:14" ht="41.4" x14ac:dyDescent="0.25">
      <c r="A680" s="70" t="s">
        <v>78</v>
      </c>
      <c r="B680" s="4" t="s">
        <v>33</v>
      </c>
      <c r="C680" s="73"/>
      <c r="D680" s="25"/>
      <c r="E680" s="78" t="s">
        <v>355</v>
      </c>
      <c r="F680" s="24"/>
      <c r="G680" s="24"/>
      <c r="H680" s="19"/>
      <c r="I680" s="19"/>
      <c r="J680" s="14"/>
      <c r="K680" s="14"/>
      <c r="L680" s="2"/>
      <c r="M680" s="78"/>
    </row>
    <row r="681" spans="1:14" ht="55.2" x14ac:dyDescent="0.25">
      <c r="A681" s="4" t="s">
        <v>140</v>
      </c>
      <c r="B681" s="3" t="s">
        <v>141</v>
      </c>
      <c r="C681" s="73">
        <f>60/2100</f>
        <v>2.8571428571428571E-2</v>
      </c>
      <c r="D681" s="33"/>
      <c r="E681" s="78" t="s">
        <v>327</v>
      </c>
      <c r="F681" s="24"/>
      <c r="G681" s="24"/>
      <c r="H681" s="19"/>
      <c r="I681" s="19"/>
      <c r="J681" s="49"/>
      <c r="K681" s="49"/>
      <c r="L681" s="2"/>
      <c r="M681" s="78"/>
      <c r="N681" s="6"/>
    </row>
    <row r="682" spans="1:14" ht="27.6" x14ac:dyDescent="0.25">
      <c r="A682" s="2" t="s">
        <v>356</v>
      </c>
      <c r="B682" s="15" t="s">
        <v>144</v>
      </c>
      <c r="C682" s="73">
        <f>4*7</f>
        <v>28</v>
      </c>
      <c r="D682" s="25"/>
      <c r="E682" s="78" t="s">
        <v>357</v>
      </c>
      <c r="F682" s="24"/>
      <c r="G682" s="24" t="str">
        <f t="shared" ref="G682" si="33">IF($F682="","",IF($F682="Gemessen","sehr gut",IF($F682="Berechnet","gut",IF($F682="Literaturwert","befriedigend",IF($F682="Geschätzt","schlecht",IF($F682="Keine Angabe","nicht erhoben",IF($F682="Datenbank (Gabi) | NUR UMSICHT","GaBi",IF($F682="Datenbank (ecoinvent) | NUR UMSICHT","ecoinvent"))))))))</f>
        <v/>
      </c>
      <c r="H682" s="19"/>
      <c r="I682" s="19"/>
      <c r="J682" s="28"/>
      <c r="K682" s="28"/>
      <c r="L682" s="2"/>
      <c r="M682" s="78"/>
    </row>
    <row r="683" spans="1:14" ht="167.4" x14ac:dyDescent="0.25">
      <c r="A683" s="2" t="s">
        <v>275</v>
      </c>
      <c r="B683" s="98" t="s">
        <v>144</v>
      </c>
      <c r="C683" s="73">
        <f>1.4*8.08</f>
        <v>11.311999999999999</v>
      </c>
      <c r="D683" s="25"/>
      <c r="E683" s="78" t="s">
        <v>358</v>
      </c>
      <c r="F683" s="24"/>
      <c r="G683" s="24"/>
      <c r="H683" s="19"/>
      <c r="I683" s="19"/>
      <c r="J683" s="28"/>
      <c r="K683" s="28"/>
      <c r="L683" s="2"/>
      <c r="M683" s="78" t="s">
        <v>359</v>
      </c>
    </row>
    <row r="684" spans="1:14" ht="69" x14ac:dyDescent="0.25">
      <c r="A684" s="2" t="s">
        <v>151</v>
      </c>
      <c r="B684" s="15" t="s">
        <v>144</v>
      </c>
      <c r="C684" s="23">
        <f>2*(770*0.00526316)</f>
        <v>8.1052663999999996</v>
      </c>
      <c r="D684" s="33"/>
      <c r="E684" s="78" t="s">
        <v>152</v>
      </c>
      <c r="F684" s="24"/>
      <c r="G684" s="24" t="str">
        <f t="shared" ref="G684" si="34">IF($F684="","",IF($F684="Gemessen","sehr gut",IF($F684="Berechnet","gut",IF($F684="Literaturwert","befriedigend",IF($F684="Geschätzt","schlecht",IF($F684="Keine Angabe","nicht erhoben",IF($F684="Datenbank (Gabi) | NUR UMSICHT","GaBi",IF($F684="Datenbank (ecoinvent) | NUR UMSICHT","ecoinvent"))))))))</f>
        <v/>
      </c>
      <c r="H684" s="19"/>
      <c r="I684" s="19"/>
      <c r="J684" s="28"/>
      <c r="K684" s="28"/>
      <c r="L684" s="2"/>
      <c r="M684" s="78" t="s">
        <v>153</v>
      </c>
    </row>
    <row r="685" spans="1:14" x14ac:dyDescent="0.25">
      <c r="A685" s="2"/>
      <c r="B685" s="98"/>
      <c r="C685" s="73"/>
      <c r="D685" s="25"/>
      <c r="E685" s="78"/>
      <c r="F685" s="24"/>
      <c r="G685" s="24"/>
      <c r="H685" s="19"/>
      <c r="I685" s="19"/>
      <c r="J685" s="28"/>
      <c r="K685" s="28"/>
      <c r="L685" s="2"/>
      <c r="M685" s="78"/>
    </row>
    <row r="686" spans="1:14" x14ac:dyDescent="0.25">
      <c r="A686" s="71" t="s">
        <v>35</v>
      </c>
      <c r="B686" s="4"/>
      <c r="C686" s="73"/>
      <c r="D686" s="25"/>
      <c r="E686" s="78"/>
      <c r="F686" s="24"/>
      <c r="G686" s="24"/>
      <c r="H686" s="19"/>
      <c r="I686" s="19"/>
      <c r="J686" s="28"/>
      <c r="K686" s="28"/>
      <c r="L686" s="2"/>
      <c r="M686" s="78"/>
    </row>
    <row r="687" spans="1:14" x14ac:dyDescent="0.25">
      <c r="A687" s="2" t="s">
        <v>108</v>
      </c>
      <c r="B687" s="4" t="s">
        <v>37</v>
      </c>
      <c r="C687" s="73">
        <v>1</v>
      </c>
      <c r="D687" s="25"/>
      <c r="E687" s="78"/>
      <c r="F687" s="24"/>
      <c r="G687" s="24"/>
      <c r="H687" s="19"/>
      <c r="I687" s="19"/>
      <c r="J687" s="28"/>
      <c r="K687" s="28"/>
      <c r="L687" s="2"/>
      <c r="M687" s="78"/>
    </row>
    <row r="688" spans="1:14" ht="29.4" customHeight="1" x14ac:dyDescent="0.25">
      <c r="A688" s="70" t="s">
        <v>162</v>
      </c>
      <c r="B688" s="4" t="s">
        <v>144</v>
      </c>
      <c r="C688" s="73">
        <f>C681*200</f>
        <v>5.7142857142857144</v>
      </c>
      <c r="D688" s="25"/>
      <c r="E688" s="78"/>
      <c r="F688" s="24"/>
      <c r="G688" s="24"/>
      <c r="H688" s="19"/>
      <c r="I688" s="19"/>
      <c r="J688" s="14"/>
      <c r="K688" s="14"/>
      <c r="L688" s="2"/>
      <c r="M688" s="78" t="s">
        <v>163</v>
      </c>
    </row>
    <row r="689" spans="1:14" ht="41.4" x14ac:dyDescent="0.25">
      <c r="A689" s="2" t="s">
        <v>160</v>
      </c>
      <c r="B689" s="3" t="s">
        <v>144</v>
      </c>
      <c r="C689" s="73">
        <f>C684</f>
        <v>8.1052663999999996</v>
      </c>
      <c r="D689" s="25"/>
      <c r="E689" s="78"/>
      <c r="F689" s="24"/>
      <c r="G689" s="24"/>
      <c r="H689" s="23"/>
      <c r="I689" s="23"/>
      <c r="J689" s="28"/>
      <c r="K689" s="28"/>
      <c r="L689" s="2"/>
      <c r="M689" s="78" t="s">
        <v>161</v>
      </c>
    </row>
    <row r="690" spans="1:14" s="6" customFormat="1" ht="27.6" x14ac:dyDescent="0.25">
      <c r="A690" s="2" t="s">
        <v>360</v>
      </c>
      <c r="B690" s="3"/>
      <c r="C690" s="73"/>
      <c r="D690" s="25"/>
      <c r="E690" s="78" t="s">
        <v>361</v>
      </c>
      <c r="F690" s="24"/>
      <c r="G690" s="24"/>
      <c r="H690" s="23"/>
      <c r="I690" s="23"/>
      <c r="J690" s="28"/>
      <c r="K690" s="28"/>
      <c r="L690" s="2"/>
      <c r="M690" s="78"/>
      <c r="N690" s="1"/>
    </row>
    <row r="691" spans="1:14" s="6" customFormat="1" x14ac:dyDescent="0.25">
      <c r="A691" s="46" t="s">
        <v>164</v>
      </c>
      <c r="B691" s="3"/>
      <c r="C691" s="73"/>
      <c r="D691" s="33"/>
      <c r="E691" s="78"/>
      <c r="F691" s="24"/>
      <c r="G691" s="24"/>
      <c r="H691" s="19"/>
      <c r="I691" s="19"/>
      <c r="J691" s="49"/>
      <c r="K691" s="49"/>
      <c r="L691" s="2"/>
      <c r="M691" s="78"/>
    </row>
    <row r="692" spans="1:14" s="6" customFormat="1" x14ac:dyDescent="0.25">
      <c r="A692" s="70" t="s">
        <v>165</v>
      </c>
      <c r="B692" s="3"/>
      <c r="C692" s="73"/>
      <c r="D692" s="33"/>
      <c r="E692" s="78"/>
      <c r="F692" s="24"/>
      <c r="G692" s="24"/>
      <c r="H692" s="19"/>
      <c r="I692" s="19"/>
      <c r="J692" s="49"/>
      <c r="K692" s="49"/>
      <c r="L692" s="2"/>
      <c r="M692" s="78"/>
    </row>
    <row r="693" spans="1:14" s="6" customFormat="1" x14ac:dyDescent="0.25">
      <c r="A693" s="4" t="s">
        <v>166</v>
      </c>
      <c r="B693" s="3"/>
      <c r="C693" s="73"/>
      <c r="D693" s="33"/>
      <c r="E693" s="78" t="s">
        <v>167</v>
      </c>
      <c r="F693" s="24"/>
      <c r="G693" s="24"/>
      <c r="H693" s="19"/>
      <c r="I693" s="19"/>
      <c r="J693" s="49"/>
      <c r="K693" s="49"/>
      <c r="L693" s="2"/>
      <c r="M693" s="78"/>
    </row>
    <row r="694" spans="1:14" s="6" customFormat="1" x14ac:dyDescent="0.25">
      <c r="A694" s="4" t="s">
        <v>168</v>
      </c>
      <c r="B694" s="3"/>
      <c r="C694" s="73"/>
      <c r="D694" s="33"/>
      <c r="E694" s="78" t="s">
        <v>169</v>
      </c>
      <c r="F694" s="24"/>
      <c r="G694" s="24"/>
      <c r="H694" s="19"/>
      <c r="I694" s="19"/>
      <c r="J694" s="49"/>
      <c r="K694" s="49"/>
      <c r="L694" s="2"/>
      <c r="M694" s="78"/>
    </row>
    <row r="695" spans="1:14" s="6" customFormat="1" x14ac:dyDescent="0.25">
      <c r="A695" s="4" t="s">
        <v>170</v>
      </c>
      <c r="B695" s="3"/>
      <c r="C695" s="73"/>
      <c r="D695" s="33"/>
      <c r="E695" s="78"/>
      <c r="F695" s="24"/>
      <c r="G695" s="24"/>
      <c r="H695" s="19"/>
      <c r="I695" s="19"/>
      <c r="J695" s="49"/>
      <c r="K695" s="49"/>
      <c r="L695" s="2"/>
      <c r="M695" s="78"/>
    </row>
    <row r="696" spans="1:14" s="6" customFormat="1" x14ac:dyDescent="0.25">
      <c r="A696" s="4" t="s">
        <v>171</v>
      </c>
      <c r="B696" s="3"/>
      <c r="C696" s="73"/>
      <c r="D696" s="33"/>
      <c r="E696" s="78" t="s">
        <v>172</v>
      </c>
      <c r="F696" s="24"/>
      <c r="G696" s="24"/>
      <c r="H696" s="19"/>
      <c r="I696" s="19"/>
      <c r="J696" s="49"/>
      <c r="K696" s="49"/>
      <c r="L696" s="2"/>
      <c r="M696" s="78"/>
    </row>
    <row r="697" spans="1:14" x14ac:dyDescent="0.25">
      <c r="A697" s="4" t="s">
        <v>173</v>
      </c>
      <c r="B697" s="3"/>
      <c r="C697" s="73"/>
      <c r="D697" s="33"/>
      <c r="E697" s="78" t="s">
        <v>172</v>
      </c>
      <c r="F697" s="24"/>
      <c r="G697" s="24"/>
      <c r="H697" s="19"/>
      <c r="I697" s="19"/>
      <c r="J697" s="49"/>
      <c r="K697" s="49"/>
      <c r="L697" s="2"/>
      <c r="M697" s="78"/>
      <c r="N697" s="6"/>
    </row>
    <row r="698" spans="1:14" x14ac:dyDescent="0.25">
      <c r="A698" s="4" t="s">
        <v>174</v>
      </c>
      <c r="B698" s="3"/>
      <c r="C698" s="73"/>
      <c r="D698" s="33"/>
      <c r="E698" s="78" t="s">
        <v>175</v>
      </c>
      <c r="F698" s="24"/>
      <c r="G698" s="24"/>
      <c r="H698" s="19"/>
      <c r="I698" s="19"/>
      <c r="J698" s="49"/>
      <c r="K698" s="49"/>
      <c r="L698" s="2"/>
      <c r="M698" s="78"/>
      <c r="N698" s="6"/>
    </row>
    <row r="699" spans="1:14" ht="27.6" x14ac:dyDescent="0.25">
      <c r="A699" s="70" t="s">
        <v>362</v>
      </c>
      <c r="B699" s="15"/>
      <c r="C699" s="73"/>
      <c r="D699" s="25"/>
      <c r="E699" s="78" t="s">
        <v>363</v>
      </c>
      <c r="F699" s="24"/>
      <c r="G699" s="24"/>
      <c r="H699" s="19"/>
      <c r="I699" s="19"/>
      <c r="J699" s="28"/>
      <c r="K699" s="28"/>
      <c r="L699" s="2"/>
      <c r="M699" s="78"/>
    </row>
    <row r="700" spans="1:14" x14ac:dyDescent="0.25">
      <c r="A700" s="2"/>
      <c r="B700" s="3"/>
      <c r="C700" s="73"/>
      <c r="D700" s="25"/>
      <c r="E700" s="78"/>
      <c r="F700" s="24"/>
      <c r="G700" s="24"/>
      <c r="H700" s="23"/>
      <c r="I700" s="23"/>
      <c r="J700" s="28"/>
      <c r="K700" s="28"/>
      <c r="L700" s="2"/>
      <c r="M700" s="78"/>
    </row>
    <row r="701" spans="1:14" x14ac:dyDescent="0.25">
      <c r="A701" s="2"/>
      <c r="B701" s="3"/>
      <c r="C701" s="73"/>
      <c r="D701" s="25"/>
      <c r="E701" s="78"/>
      <c r="F701" s="24"/>
      <c r="G701" s="24"/>
      <c r="H701" s="23"/>
      <c r="I701" s="23"/>
      <c r="J701" s="28"/>
      <c r="K701" s="28"/>
      <c r="L701" s="2"/>
      <c r="M701" s="78"/>
    </row>
    <row r="702" spans="1:14" x14ac:dyDescent="0.25">
      <c r="F702" s="1"/>
      <c r="G702" s="1"/>
      <c r="H702" s="1"/>
      <c r="I702" s="1"/>
      <c r="J702" s="1"/>
      <c r="K702" s="1"/>
    </row>
    <row r="703" spans="1:14" x14ac:dyDescent="0.25">
      <c r="F703" s="1"/>
      <c r="G703" s="1"/>
      <c r="H703" s="1"/>
      <c r="I703" s="1"/>
      <c r="J703" s="1"/>
      <c r="K703" s="1"/>
    </row>
    <row r="704" spans="1:14" x14ac:dyDescent="0.25">
      <c r="A704" s="1" t="s">
        <v>364</v>
      </c>
      <c r="F704" s="1"/>
      <c r="G704" s="1"/>
      <c r="H704" s="1"/>
      <c r="I704" s="1"/>
      <c r="J704" s="1"/>
      <c r="K704" s="1"/>
    </row>
    <row r="705" spans="1:11" x14ac:dyDescent="0.25">
      <c r="A705" s="182" t="s">
        <v>365</v>
      </c>
      <c r="F705" s="1"/>
      <c r="G705" s="1"/>
      <c r="H705" s="1"/>
      <c r="I705" s="1"/>
      <c r="J705" s="1"/>
      <c r="K705" s="1"/>
    </row>
    <row r="706" spans="1:11" ht="96.6" x14ac:dyDescent="0.25">
      <c r="A706" s="1" t="s">
        <v>366</v>
      </c>
      <c r="F706" s="1"/>
      <c r="G706" s="1"/>
      <c r="H706" s="1"/>
      <c r="I706" s="1"/>
      <c r="J706" s="1"/>
      <c r="K706" s="1"/>
    </row>
    <row r="707" spans="1:11" ht="55.2" x14ac:dyDescent="0.25">
      <c r="A707" s="1" t="s">
        <v>367</v>
      </c>
      <c r="F707" s="1"/>
      <c r="G707" s="1"/>
      <c r="H707" s="1"/>
      <c r="I707" s="1"/>
      <c r="J707" s="1"/>
      <c r="K707" s="1"/>
    </row>
    <row r="708" spans="1:11" x14ac:dyDescent="0.25">
      <c r="F708" s="1"/>
      <c r="G708" s="1"/>
      <c r="H708" s="1"/>
      <c r="I708" s="1"/>
      <c r="J708" s="1"/>
      <c r="K708" s="1"/>
    </row>
    <row r="709" spans="1:11" x14ac:dyDescent="0.25">
      <c r="F709" s="1"/>
      <c r="G709" s="1"/>
      <c r="H709" s="1"/>
      <c r="I709" s="1"/>
      <c r="J709" s="1"/>
      <c r="K709" s="1"/>
    </row>
    <row r="710" spans="1:11" x14ac:dyDescent="0.25">
      <c r="F710" s="1"/>
      <c r="G710" s="1"/>
      <c r="H710" s="1"/>
      <c r="I710" s="1"/>
      <c r="J710" s="1"/>
      <c r="K710" s="1"/>
    </row>
    <row r="711" spans="1:11" x14ac:dyDescent="0.25">
      <c r="F711" s="1"/>
      <c r="G711" s="1"/>
      <c r="H711" s="1"/>
      <c r="I711" s="1"/>
      <c r="J711" s="1"/>
      <c r="K711" s="1"/>
    </row>
    <row r="712" spans="1:11" x14ac:dyDescent="0.25">
      <c r="F712" s="1"/>
      <c r="G712" s="1"/>
      <c r="H712" s="1"/>
      <c r="I712" s="1"/>
      <c r="J712" s="1"/>
      <c r="K712" s="1"/>
    </row>
    <row r="713" spans="1:11" x14ac:dyDescent="0.25">
      <c r="F713" s="1"/>
      <c r="G713" s="1"/>
      <c r="H713" s="1"/>
      <c r="I713" s="1"/>
      <c r="J713" s="1"/>
      <c r="K713" s="1"/>
    </row>
    <row r="714" spans="1:11" x14ac:dyDescent="0.25">
      <c r="F714" s="1"/>
      <c r="G714" s="1"/>
      <c r="H714" s="1"/>
      <c r="I714" s="1"/>
      <c r="J714" s="1"/>
      <c r="K714" s="1"/>
    </row>
    <row r="715" spans="1:11" x14ac:dyDescent="0.25">
      <c r="F715" s="1"/>
      <c r="G715" s="1"/>
      <c r="H715" s="1"/>
      <c r="I715" s="1"/>
      <c r="J715" s="1"/>
      <c r="K715" s="1"/>
    </row>
    <row r="716" spans="1:11" x14ac:dyDescent="0.25">
      <c r="F716" s="1"/>
      <c r="G716" s="1"/>
      <c r="H716" s="1"/>
      <c r="I716" s="1"/>
      <c r="J716" s="1"/>
      <c r="K716" s="1"/>
    </row>
    <row r="717" spans="1:11" x14ac:dyDescent="0.25">
      <c r="F717" s="1"/>
      <c r="G717" s="1"/>
      <c r="H717" s="1"/>
      <c r="I717" s="1"/>
      <c r="J717" s="1"/>
      <c r="K717" s="1"/>
    </row>
    <row r="718" spans="1:11" x14ac:dyDescent="0.25">
      <c r="F718" s="1"/>
      <c r="G718" s="1"/>
      <c r="H718" s="1"/>
      <c r="I718" s="1"/>
      <c r="J718" s="1"/>
      <c r="K718" s="1"/>
    </row>
    <row r="719" spans="1:11" x14ac:dyDescent="0.25">
      <c r="F719" s="1"/>
      <c r="G719" s="1"/>
      <c r="H719" s="1"/>
      <c r="I719" s="1"/>
      <c r="J719" s="1"/>
      <c r="K719" s="1"/>
    </row>
    <row r="720" spans="1:11" x14ac:dyDescent="0.25">
      <c r="F720" s="1"/>
      <c r="G720" s="1"/>
      <c r="H720" s="1"/>
      <c r="I720" s="1"/>
      <c r="J720" s="1"/>
      <c r="K720" s="1"/>
    </row>
    <row r="721" spans="6:11" x14ac:dyDescent="0.25">
      <c r="F721" s="1"/>
      <c r="G721" s="1"/>
      <c r="H721" s="1"/>
      <c r="I721" s="1"/>
      <c r="J721" s="1"/>
      <c r="K721" s="1"/>
    </row>
    <row r="722" spans="6:11" x14ac:dyDescent="0.25">
      <c r="F722" s="1"/>
      <c r="G722" s="1"/>
      <c r="H722" s="1"/>
      <c r="I722" s="1"/>
      <c r="J722" s="1"/>
      <c r="K722" s="1"/>
    </row>
    <row r="723" spans="6:11" x14ac:dyDescent="0.25">
      <c r="F723" s="1"/>
      <c r="G723" s="1"/>
      <c r="H723" s="1"/>
      <c r="I723" s="1"/>
      <c r="J723" s="1"/>
      <c r="K723" s="1"/>
    </row>
    <row r="724" spans="6:11" x14ac:dyDescent="0.25">
      <c r="F724" s="1"/>
      <c r="G724" s="1"/>
      <c r="H724" s="1"/>
      <c r="I724" s="1"/>
      <c r="J724" s="1"/>
      <c r="K724" s="1"/>
    </row>
    <row r="725" spans="6:11" x14ac:dyDescent="0.25">
      <c r="F725" s="1"/>
      <c r="G725" s="1"/>
      <c r="H725" s="1"/>
      <c r="I725" s="1"/>
      <c r="J725" s="1"/>
      <c r="K725" s="1"/>
    </row>
    <row r="726" spans="6:11" x14ac:dyDescent="0.25">
      <c r="F726" s="1"/>
      <c r="G726" s="1"/>
      <c r="H726" s="1"/>
      <c r="I726" s="1"/>
      <c r="J726" s="1"/>
      <c r="K726" s="1"/>
    </row>
    <row r="727" spans="6:11" x14ac:dyDescent="0.25">
      <c r="F727" s="1"/>
      <c r="G727" s="1"/>
      <c r="H727" s="1"/>
      <c r="I727" s="1"/>
      <c r="J727" s="1"/>
      <c r="K727" s="1"/>
    </row>
    <row r="728" spans="6:11" x14ac:dyDescent="0.25">
      <c r="F728" s="1"/>
      <c r="G728" s="1"/>
      <c r="H728" s="1"/>
      <c r="I728" s="1"/>
      <c r="J728" s="1"/>
      <c r="K728" s="1"/>
    </row>
    <row r="729" spans="6:11" x14ac:dyDescent="0.25">
      <c r="F729" s="1"/>
      <c r="G729" s="1"/>
      <c r="H729" s="1"/>
      <c r="I729" s="1"/>
      <c r="J729" s="1"/>
      <c r="K729" s="1"/>
    </row>
    <row r="730" spans="6:11" x14ac:dyDescent="0.25">
      <c r="F730" s="1"/>
      <c r="G730" s="1"/>
      <c r="H730" s="1"/>
      <c r="I730" s="1"/>
      <c r="J730" s="1"/>
      <c r="K730" s="1"/>
    </row>
    <row r="731" spans="6:11" x14ac:dyDescent="0.25">
      <c r="F731" s="1"/>
      <c r="G731" s="1"/>
      <c r="H731" s="1"/>
      <c r="I731" s="1"/>
      <c r="J731" s="1"/>
      <c r="K731" s="1"/>
    </row>
    <row r="732" spans="6:11" x14ac:dyDescent="0.25">
      <c r="F732" s="1"/>
      <c r="G732" s="1"/>
      <c r="H732" s="1"/>
      <c r="I732" s="1"/>
      <c r="J732" s="1"/>
      <c r="K732" s="1"/>
    </row>
    <row r="733" spans="6:11" x14ac:dyDescent="0.25">
      <c r="F733" s="1"/>
      <c r="G733" s="1"/>
      <c r="H733" s="1"/>
      <c r="I733" s="1"/>
      <c r="J733" s="1"/>
      <c r="K733" s="1"/>
    </row>
    <row r="734" spans="6:11" x14ac:dyDescent="0.25">
      <c r="F734" s="1"/>
      <c r="G734" s="1"/>
      <c r="H734" s="1"/>
      <c r="I734" s="1"/>
      <c r="J734" s="1"/>
      <c r="K734" s="1"/>
    </row>
    <row r="735" spans="6:11" x14ac:dyDescent="0.25">
      <c r="F735" s="1"/>
      <c r="G735" s="1"/>
      <c r="H735" s="1"/>
      <c r="I735" s="1"/>
      <c r="J735" s="1"/>
      <c r="K735" s="1"/>
    </row>
    <row r="736" spans="6:11" x14ac:dyDescent="0.25">
      <c r="F736" s="1"/>
      <c r="G736" s="1"/>
      <c r="H736" s="1"/>
      <c r="I736" s="1"/>
      <c r="J736" s="1"/>
      <c r="K736" s="1"/>
    </row>
    <row r="737" spans="6:11" x14ac:dyDescent="0.25">
      <c r="F737" s="1"/>
      <c r="G737" s="1"/>
      <c r="H737" s="1"/>
      <c r="I737" s="1"/>
      <c r="J737" s="1"/>
      <c r="K737" s="1"/>
    </row>
    <row r="738" spans="6:11" x14ac:dyDescent="0.25">
      <c r="F738" s="1"/>
      <c r="G738" s="1"/>
      <c r="H738" s="1"/>
      <c r="I738" s="1"/>
      <c r="J738" s="1"/>
      <c r="K738" s="1"/>
    </row>
    <row r="739" spans="6:11" x14ac:dyDescent="0.25">
      <c r="F739" s="1"/>
      <c r="G739" s="1"/>
      <c r="H739" s="1"/>
      <c r="I739" s="1"/>
      <c r="J739" s="1"/>
      <c r="K739" s="1"/>
    </row>
    <row r="740" spans="6:11" x14ac:dyDescent="0.25">
      <c r="F740" s="1"/>
      <c r="G740" s="1"/>
      <c r="H740" s="1"/>
      <c r="I740" s="1"/>
      <c r="J740" s="1"/>
      <c r="K740" s="1"/>
    </row>
    <row r="741" spans="6:11" x14ac:dyDescent="0.25">
      <c r="F741" s="1"/>
      <c r="G741" s="1"/>
      <c r="H741" s="1"/>
      <c r="I741" s="1"/>
      <c r="J741" s="1"/>
      <c r="K741" s="1"/>
    </row>
    <row r="742" spans="6:11" x14ac:dyDescent="0.25">
      <c r="F742" s="1"/>
      <c r="G742" s="1"/>
      <c r="H742" s="1"/>
      <c r="I742" s="1"/>
      <c r="J742" s="1"/>
      <c r="K742" s="1"/>
    </row>
    <row r="743" spans="6:11" x14ac:dyDescent="0.25">
      <c r="F743" s="1"/>
      <c r="G743" s="1"/>
      <c r="H743" s="1"/>
      <c r="I743" s="1"/>
      <c r="J743" s="1"/>
      <c r="K743" s="1"/>
    </row>
    <row r="744" spans="6:11" x14ac:dyDescent="0.25">
      <c r="F744" s="1"/>
      <c r="G744" s="1"/>
      <c r="H744" s="1"/>
      <c r="I744" s="1"/>
      <c r="J744" s="1"/>
      <c r="K744" s="1"/>
    </row>
    <row r="745" spans="6:11" x14ac:dyDescent="0.25">
      <c r="F745" s="1"/>
      <c r="G745" s="1"/>
      <c r="H745" s="1"/>
      <c r="I745" s="1"/>
      <c r="J745" s="1"/>
      <c r="K745" s="1"/>
    </row>
    <row r="746" spans="6:11" x14ac:dyDescent="0.25">
      <c r="F746" s="1"/>
      <c r="G746" s="1"/>
      <c r="H746" s="1"/>
      <c r="I746" s="1"/>
      <c r="J746" s="1"/>
      <c r="K746" s="1"/>
    </row>
    <row r="747" spans="6:11" x14ac:dyDescent="0.25">
      <c r="F747" s="1"/>
      <c r="G747" s="1"/>
      <c r="H747" s="1"/>
      <c r="I747" s="1"/>
      <c r="J747" s="1"/>
      <c r="K747" s="1"/>
    </row>
    <row r="748" spans="6:11" x14ac:dyDescent="0.25">
      <c r="F748" s="1"/>
      <c r="G748" s="1"/>
      <c r="H748" s="1"/>
      <c r="I748" s="1"/>
      <c r="J748" s="1"/>
      <c r="K748" s="1"/>
    </row>
    <row r="749" spans="6:11" x14ac:dyDescent="0.25">
      <c r="F749" s="1"/>
      <c r="G749" s="1"/>
      <c r="H749" s="1"/>
      <c r="I749" s="1"/>
      <c r="J749" s="1"/>
      <c r="K749" s="1"/>
    </row>
  </sheetData>
  <mergeCells count="13">
    <mergeCell ref="B669:E669"/>
    <mergeCell ref="B606:E606"/>
    <mergeCell ref="F1:H1"/>
    <mergeCell ref="G2:H2"/>
    <mergeCell ref="G278:H278"/>
    <mergeCell ref="G548:H548"/>
    <mergeCell ref="B335:E335"/>
    <mergeCell ref="B467:E467"/>
    <mergeCell ref="B508:E508"/>
    <mergeCell ref="B572:E572"/>
    <mergeCell ref="B632:E632"/>
    <mergeCell ref="D287:M287"/>
    <mergeCell ref="D558:M558"/>
  </mergeCells>
  <phoneticPr fontId="4" type="noConversion"/>
  <dataValidations disablePrompts="1" count="8">
    <dataValidation type="list" allowBlank="1" showInputMessage="1" showErrorMessage="1" sqref="F288:F294 F243:F260 F392:F420 F200:F239 F155:F196 F424:F465 F52 F82:F113 F54:F78 F303 F4:F19 F117:F151 F266:F277 F23:F48 F575 F338:F339 F470:F471 F511:F513 F609:F611 F635:F636 F672:F675 F280:F286 F550:F557 F559:F565 H23:H48 H655:H667 H587:H604 H243:H260 H491:H506 H117:H151 H4:H19 H288:H294 H52:H78 H82:H113 H200:H239 H155:H196 H424:H465 H392:H420 H266:H277 H303:H304 H307:H313 H338:H339 H470:H471 H511:H513 H575:H576 H579:H585 H609:H611 H635:H636 H672:H675 F307:F333 H316:H333 H342:H368 F342:F388 F516:F545 H516:H545 F579:F604 F614:F630 H614:H630 H380:H388 H678:H701 F678:F701 H280:H286 H550:H557 H559:H565 H371:H378 H474:H488 F474:F506 F639:F667 H639:H652 F298:F299 H298:H299 H569:H570 F569:F570" xr:uid="{00000000-0002-0000-0200-000000000000}">
      <formula1>#REF!</formula1>
    </dataValidation>
    <dataValidation type="list" allowBlank="1" showInputMessage="1" showErrorMessage="1" sqref="E261:E265" xr:uid="{00000000-0002-0000-0200-000001000000}">
      <formula1>$A$419:$A$425</formula1>
    </dataValidation>
    <dataValidation type="list" allowBlank="1" showInputMessage="1" showErrorMessage="1" sqref="G261:G265" xr:uid="{00000000-0002-0000-0200-000002000000}">
      <formula1>$A$521:$A$522</formula1>
    </dataValidation>
    <dataValidation type="list" allowBlank="1" showInputMessage="1" showErrorMessage="1" sqref="H305:H306 H677 H638:H639 H613 H578 H515 H473 H341" xr:uid="{8D987E02-8D6E-4BA6-ACE0-D317DEF980AB}">
      <formula1>$A$376:$A$382</formula1>
    </dataValidation>
    <dataValidation type="list" allowBlank="1" showInputMessage="1" showErrorMessage="1" sqref="H369" xr:uid="{D67EC3BC-46F9-4094-ABE1-8AB4C4D72318}">
      <formula1>$A$367:$A$372</formula1>
    </dataValidation>
    <dataValidation type="list" allowBlank="1" showInputMessage="1" showErrorMessage="1" sqref="H370" xr:uid="{4C1B45E5-5FF4-4FD3-A8A8-63D340C05ED0}">
      <formula1>$A$367:$A$371</formula1>
    </dataValidation>
    <dataValidation type="list" allowBlank="1" showInputMessage="1" showErrorMessage="1" sqref="H314:H315" xr:uid="{3CD54B1D-D510-40F5-90B5-C8E9A41089AA}">
      <formula1>$A$373:$A$381</formula1>
    </dataValidation>
    <dataValidation type="list" allowBlank="1" showInputMessage="1" showErrorMessage="1" sqref="H637 H340 H489:H490 H472 H514 H586 H577 H612 H379 H676 H653:H654" xr:uid="{1DE96A39-4687-4F6B-B466-283F608CC3A8}">
      <formula1>$A$366:$A$370</formula1>
    </dataValidation>
  </dataValidations>
  <pageMargins left="0.7" right="0.7" top="0.75" bottom="0.75" header="0.3" footer="0.3"/>
  <pageSetup paperSize="9" scale="58" fitToHeight="0" orientation="portrait" r:id="rId1"/>
  <headerFooter alignWithMargins="0">
    <oddFooter>&amp;L&amp;F&amp;C&amp;A&amp;R&amp;P</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U433"/>
  <sheetViews>
    <sheetView zoomScale="90" zoomScaleNormal="90" workbookViewId="0">
      <selection activeCell="C95" sqref="C95"/>
    </sheetView>
  </sheetViews>
  <sheetFormatPr baseColWidth="10" defaultColWidth="11.44140625" defaultRowHeight="13.8" x14ac:dyDescent="0.25"/>
  <cols>
    <col min="1" max="1" width="59.88671875" style="1" customWidth="1"/>
    <col min="2" max="2" width="13.6640625" style="1" bestFit="1" customWidth="1"/>
    <col min="3" max="3" width="20.5546875" style="1" customWidth="1"/>
    <col min="4" max="4" width="20.44140625" style="1" customWidth="1"/>
    <col min="5" max="5" width="37.44140625" style="7" customWidth="1"/>
    <col min="6" max="6" width="25.6640625" style="17" hidden="1" customWidth="1"/>
    <col min="7" max="7" width="24.88671875" style="17" hidden="1" customWidth="1"/>
    <col min="8" max="8" width="25.33203125" style="17" hidden="1" customWidth="1"/>
    <col min="9" max="9" width="16.44140625" style="17" hidden="1" customWidth="1"/>
    <col min="10" max="11" width="27.33203125" style="17" hidden="1" customWidth="1"/>
    <col min="12" max="13" width="0" style="1" hidden="1" customWidth="1"/>
    <col min="14" max="14" width="42.6640625" style="7" customWidth="1"/>
    <col min="15" max="16384" width="11.44140625" style="1"/>
  </cols>
  <sheetData>
    <row r="1" spans="1:14" x14ac:dyDescent="0.25">
      <c r="A1" s="5"/>
      <c r="B1" s="5"/>
      <c r="F1" s="219" t="s">
        <v>6</v>
      </c>
      <c r="G1" s="219"/>
      <c r="H1" s="219"/>
    </row>
    <row r="2" spans="1:14" ht="16.8" x14ac:dyDescent="0.25">
      <c r="A2" s="9" t="s">
        <v>368</v>
      </c>
      <c r="B2" s="8"/>
      <c r="C2" s="8"/>
      <c r="D2" s="8"/>
      <c r="E2" s="77"/>
      <c r="F2" s="36"/>
      <c r="G2" s="220" t="s">
        <v>8</v>
      </c>
      <c r="H2" s="220"/>
      <c r="I2" s="8"/>
      <c r="J2" s="8"/>
      <c r="K2" s="8"/>
      <c r="L2" s="8"/>
    </row>
    <row r="3" spans="1:14" ht="41.4" x14ac:dyDescent="0.25">
      <c r="A3" s="11" t="s">
        <v>9</v>
      </c>
      <c r="B3" s="11" t="s">
        <v>10</v>
      </c>
      <c r="C3" s="11" t="s">
        <v>1</v>
      </c>
      <c r="D3" s="11" t="s">
        <v>369</v>
      </c>
      <c r="E3" s="10" t="s">
        <v>12</v>
      </c>
      <c r="F3" s="35" t="s">
        <v>13</v>
      </c>
      <c r="G3" s="35" t="s">
        <v>14</v>
      </c>
      <c r="H3" s="35" t="s">
        <v>15</v>
      </c>
      <c r="I3" s="18" t="s">
        <v>16</v>
      </c>
      <c r="J3" s="18" t="s">
        <v>17</v>
      </c>
      <c r="K3" s="18" t="s">
        <v>18</v>
      </c>
      <c r="L3" s="11" t="s">
        <v>19</v>
      </c>
      <c r="N3" s="10" t="s">
        <v>113</v>
      </c>
    </row>
    <row r="4" spans="1:14" x14ac:dyDescent="0.25">
      <c r="A4" s="3" t="s">
        <v>20</v>
      </c>
      <c r="B4" s="15"/>
      <c r="C4" s="23" t="s">
        <v>370</v>
      </c>
      <c r="D4" s="25"/>
      <c r="E4" s="78"/>
      <c r="F4" s="24"/>
      <c r="G4" s="24" t="str">
        <f>IF($F4="","",IF($F4="Gemessen","sehr gut",IF($F4="Berechnet","gut",IF($F4="Literaturwert","befriedigend",IF($F4="Geschätzt","schlecht",IF($F4="Keine Angabe","nicht erhoben",IF($F4="Datenbank (Gabi) | NUR UMSICHT","GaBi",IF($F4="Datenbank (ecoinvent) | NUR UMSICHT","ecoinvent"))))))))</f>
        <v/>
      </c>
      <c r="H4" s="24"/>
      <c r="I4" s="24"/>
      <c r="J4" s="2"/>
      <c r="K4" s="2"/>
      <c r="L4" s="2"/>
      <c r="M4" s="12"/>
      <c r="N4" s="78"/>
    </row>
    <row r="5" spans="1:14" ht="55.2" x14ac:dyDescent="0.25">
      <c r="A5" s="3" t="s">
        <v>21</v>
      </c>
      <c r="B5" s="15" t="s">
        <v>115</v>
      </c>
      <c r="C5" s="23">
        <v>1451</v>
      </c>
      <c r="D5" s="25"/>
      <c r="E5" s="78" t="s">
        <v>371</v>
      </c>
      <c r="F5" s="24"/>
      <c r="G5" s="24"/>
      <c r="H5" s="24"/>
      <c r="I5" s="24"/>
      <c r="J5" s="2"/>
      <c r="K5" s="2"/>
      <c r="L5" s="2"/>
      <c r="M5" s="12"/>
      <c r="N5" s="78"/>
    </row>
    <row r="6" spans="1:14" ht="41.4" x14ac:dyDescent="0.25">
      <c r="A6" s="3" t="s">
        <v>22</v>
      </c>
      <c r="B6" s="15"/>
      <c r="C6" s="23">
        <v>3</v>
      </c>
      <c r="D6" s="25"/>
      <c r="E6" s="78" t="s">
        <v>372</v>
      </c>
      <c r="F6" s="24"/>
      <c r="G6" s="24" t="str">
        <f>IF($F6="","",IF($F6="Gemessen","sehr gut",IF($F6="Berechnet","gut",IF($F6="Literaturwert","befriedigend",IF($F6="Geschätzt","schlecht",IF($F6="Keine Angabe","nicht erhoben",IF($F6="Datenbank (Gabi) | NUR UMSICHT","GaBi",IF($F6="Datenbank (ecoinvent) | NUR UMSICHT","ecoinvent"))))))))</f>
        <v/>
      </c>
      <c r="H6" s="24"/>
      <c r="I6" s="24"/>
      <c r="J6" s="2"/>
      <c r="K6" s="2"/>
      <c r="L6" s="2"/>
      <c r="N6" s="78"/>
    </row>
    <row r="7" spans="1:14" x14ac:dyDescent="0.25">
      <c r="A7" s="3" t="s">
        <v>23</v>
      </c>
      <c r="B7" s="15"/>
      <c r="C7" s="23"/>
      <c r="D7" s="25"/>
      <c r="E7" s="78"/>
      <c r="F7" s="24"/>
      <c r="G7" s="24"/>
      <c r="H7" s="24"/>
      <c r="I7" s="24"/>
      <c r="J7" s="2"/>
      <c r="K7" s="2"/>
      <c r="L7" s="2"/>
      <c r="N7" s="78"/>
    </row>
    <row r="8" spans="1:14" ht="55.2" x14ac:dyDescent="0.25">
      <c r="A8" s="3" t="s">
        <v>119</v>
      </c>
      <c r="B8" s="15"/>
      <c r="C8" s="23" t="s">
        <v>120</v>
      </c>
      <c r="D8" s="25"/>
      <c r="E8" s="78" t="s">
        <v>373</v>
      </c>
      <c r="F8" s="24"/>
      <c r="G8" s="24"/>
      <c r="H8" s="24"/>
      <c r="I8" s="24"/>
      <c r="J8" s="2"/>
      <c r="K8" s="2"/>
      <c r="L8" s="2"/>
      <c r="N8" s="78"/>
    </row>
    <row r="9" spans="1:14" x14ac:dyDescent="0.25">
      <c r="A9" s="3" t="s">
        <v>122</v>
      </c>
      <c r="B9" s="15"/>
      <c r="C9" s="23"/>
      <c r="D9" s="25"/>
      <c r="E9" s="78"/>
      <c r="F9" s="24"/>
      <c r="G9" s="24"/>
      <c r="H9" s="24"/>
      <c r="I9" s="24"/>
      <c r="J9" s="2"/>
      <c r="K9" s="2"/>
      <c r="L9" s="2"/>
      <c r="N9" s="78"/>
    </row>
    <row r="10" spans="1:14" x14ac:dyDescent="0.25">
      <c r="A10" s="3"/>
      <c r="B10" s="15"/>
      <c r="C10" s="23"/>
      <c r="D10" s="25"/>
      <c r="E10" s="78"/>
      <c r="F10" s="24"/>
      <c r="G10" s="24"/>
      <c r="H10" s="24"/>
      <c r="I10" s="24"/>
      <c r="J10" s="2"/>
      <c r="K10" s="2"/>
      <c r="L10" s="2"/>
      <c r="N10" s="78"/>
    </row>
    <row r="11" spans="1:14" ht="41.4" x14ac:dyDescent="0.25">
      <c r="A11" s="3" t="s">
        <v>374</v>
      </c>
      <c r="B11" s="15"/>
      <c r="C11" s="23"/>
      <c r="D11" s="25"/>
      <c r="E11" s="78" t="s">
        <v>375</v>
      </c>
      <c r="F11" s="24"/>
      <c r="G11" s="24"/>
      <c r="H11" s="24"/>
      <c r="I11" s="24"/>
      <c r="J11" s="2"/>
      <c r="K11" s="2"/>
      <c r="L11" s="2"/>
      <c r="N11" s="78"/>
    </row>
    <row r="12" spans="1:14" x14ac:dyDescent="0.25">
      <c r="A12" s="3"/>
      <c r="B12" s="15"/>
      <c r="C12" s="23"/>
      <c r="D12" s="25"/>
      <c r="E12" s="78"/>
      <c r="F12" s="24"/>
      <c r="G12" s="24"/>
      <c r="H12" s="24"/>
      <c r="I12" s="24"/>
      <c r="J12" s="2"/>
      <c r="K12" s="2"/>
      <c r="L12" s="2"/>
      <c r="N12" s="78"/>
    </row>
    <row r="13" spans="1:14" ht="80.099999999999994" customHeight="1" x14ac:dyDescent="0.25">
      <c r="A13" s="3" t="s">
        <v>124</v>
      </c>
      <c r="B13" s="15" t="s">
        <v>125</v>
      </c>
      <c r="C13" s="73">
        <f>(1314/9460800)*1451</f>
        <v>0.20152777777777778</v>
      </c>
      <c r="D13" s="225" t="s">
        <v>126</v>
      </c>
      <c r="E13" s="225"/>
      <c r="F13" s="225"/>
      <c r="G13" s="225"/>
      <c r="H13" s="225"/>
      <c r="I13" s="225"/>
      <c r="J13" s="225"/>
      <c r="K13" s="225"/>
      <c r="L13" s="225"/>
      <c r="M13" s="225"/>
      <c r="N13" s="225"/>
    </row>
    <row r="14" spans="1:14" ht="50.1" customHeight="1" x14ac:dyDescent="0.25">
      <c r="A14" s="3"/>
      <c r="B14" s="15"/>
      <c r="C14" s="73"/>
      <c r="D14" s="78"/>
      <c r="E14" s="78"/>
      <c r="F14" s="78"/>
      <c r="G14" s="78"/>
      <c r="H14" s="78"/>
      <c r="I14" s="78"/>
      <c r="J14" s="78"/>
      <c r="K14" s="78"/>
      <c r="L14" s="78"/>
      <c r="M14" s="78"/>
      <c r="N14" s="113"/>
    </row>
    <row r="15" spans="1:14" x14ac:dyDescent="0.25">
      <c r="A15" s="47" t="s">
        <v>376</v>
      </c>
      <c r="B15" s="15"/>
      <c r="C15" s="23"/>
      <c r="D15" s="162"/>
      <c r="E15" s="107"/>
      <c r="F15" s="163"/>
      <c r="G15" s="163"/>
      <c r="H15" s="163"/>
      <c r="I15" s="163"/>
      <c r="J15" s="164"/>
      <c r="K15" s="164"/>
      <c r="L15" s="164"/>
      <c r="N15" s="107"/>
    </row>
    <row r="16" spans="1:14" x14ac:dyDescent="0.25">
      <c r="A16" s="114" t="s">
        <v>377</v>
      </c>
      <c r="B16" s="15"/>
      <c r="C16" s="23"/>
      <c r="D16" s="226" t="s">
        <v>1011</v>
      </c>
      <c r="E16" s="78"/>
      <c r="F16" s="24"/>
      <c r="G16" s="24"/>
      <c r="H16" s="24"/>
      <c r="I16" s="24"/>
      <c r="J16" s="2"/>
      <c r="K16" s="2"/>
      <c r="L16" s="2"/>
      <c r="N16" s="78"/>
    </row>
    <row r="17" spans="1:14" x14ac:dyDescent="0.25">
      <c r="A17" s="114" t="s">
        <v>378</v>
      </c>
      <c r="B17" s="15"/>
      <c r="C17" s="23"/>
      <c r="D17" s="227"/>
      <c r="E17" s="78"/>
      <c r="F17" s="24"/>
      <c r="G17" s="24"/>
      <c r="H17" s="24"/>
      <c r="I17" s="24"/>
      <c r="J17" s="2"/>
      <c r="K17" s="2"/>
      <c r="L17" s="2"/>
      <c r="N17" s="78"/>
    </row>
    <row r="18" spans="1:14" x14ac:dyDescent="0.25">
      <c r="A18" s="114" t="s">
        <v>379</v>
      </c>
      <c r="B18" s="15"/>
      <c r="C18" s="23"/>
      <c r="D18" s="227"/>
      <c r="E18" s="78"/>
      <c r="F18" s="24"/>
      <c r="G18" s="24"/>
      <c r="H18" s="24"/>
      <c r="I18" s="24"/>
      <c r="J18" s="2"/>
      <c r="K18" s="2"/>
      <c r="L18" s="2"/>
      <c r="N18" s="78"/>
    </row>
    <row r="19" spans="1:14" x14ac:dyDescent="0.25">
      <c r="A19" s="114" t="s">
        <v>297</v>
      </c>
      <c r="B19" s="15"/>
      <c r="C19" s="23"/>
      <c r="D19" s="227"/>
      <c r="E19" s="78"/>
      <c r="F19" s="24"/>
      <c r="G19" s="24"/>
      <c r="H19" s="24"/>
      <c r="I19" s="24"/>
      <c r="J19" s="2"/>
      <c r="K19" s="2"/>
      <c r="L19" s="2"/>
      <c r="N19" s="78"/>
    </row>
    <row r="20" spans="1:14" x14ac:dyDescent="0.25">
      <c r="A20" s="114" t="s">
        <v>69</v>
      </c>
      <c r="B20" s="15"/>
      <c r="C20" s="23"/>
      <c r="D20" s="227"/>
      <c r="E20" s="78"/>
      <c r="F20" s="24"/>
      <c r="G20" s="24"/>
      <c r="H20" s="24"/>
      <c r="I20" s="24"/>
      <c r="J20" s="2"/>
      <c r="K20" s="2"/>
      <c r="L20" s="2"/>
      <c r="N20" s="78"/>
    </row>
    <row r="21" spans="1:14" x14ac:dyDescent="0.25">
      <c r="A21" s="114" t="s">
        <v>380</v>
      </c>
      <c r="B21" s="15"/>
      <c r="C21" s="23"/>
      <c r="D21" s="227"/>
      <c r="E21" s="78"/>
      <c r="F21" s="24"/>
      <c r="G21" s="24"/>
      <c r="H21" s="24"/>
      <c r="I21" s="24"/>
      <c r="J21" s="2"/>
      <c r="K21" s="2"/>
      <c r="L21" s="2"/>
      <c r="N21" s="78"/>
    </row>
    <row r="22" spans="1:14" x14ac:dyDescent="0.25">
      <c r="A22" s="114" t="s">
        <v>381</v>
      </c>
      <c r="B22" s="15"/>
      <c r="C22" s="23"/>
      <c r="D22" s="227"/>
      <c r="E22" s="78"/>
      <c r="F22" s="111"/>
      <c r="G22" s="24"/>
      <c r="H22" s="24"/>
      <c r="I22" s="24"/>
      <c r="J22" s="2"/>
      <c r="K22" s="2"/>
      <c r="L22" s="2"/>
      <c r="N22" s="78"/>
    </row>
    <row r="23" spans="1:14" s="6" customFormat="1" x14ac:dyDescent="0.25">
      <c r="A23" s="114" t="s">
        <v>151</v>
      </c>
      <c r="B23" s="15"/>
      <c r="C23" s="23"/>
      <c r="D23" s="227"/>
      <c r="E23" s="79"/>
      <c r="F23" s="112"/>
      <c r="G23" s="23" t="str">
        <f>IF($F23="","",IF($F23="Gemessen","sehr gut",IF($F23="Berechnet","gut",IF($F23="Literaturwert","befriedigend",IF($F23="Geschätzt","schlecht",IF($F23="Keine Angabe","nicht erhoben",IF($F23="Datenbank (Gabi) | NUR UMSICHT","GaBi",IF($F23="Datenbank (ecoinvent) | NUR UMSICHT","ecoinvent"))))))))</f>
        <v/>
      </c>
      <c r="H23" s="23"/>
      <c r="I23" s="23"/>
      <c r="J23" s="2"/>
      <c r="K23" s="2"/>
      <c r="L23" s="2"/>
      <c r="N23" s="78"/>
    </row>
    <row r="24" spans="1:14" x14ac:dyDescent="0.25">
      <c r="A24" s="114" t="s">
        <v>382</v>
      </c>
      <c r="B24" s="3"/>
      <c r="C24" s="113"/>
      <c r="D24" s="227"/>
      <c r="E24" s="79"/>
      <c r="F24" s="1"/>
      <c r="G24" s="1" t="str">
        <f>IF($F24="","",IF($F24="Gemessen","sehr gut",IF($F24="Berechnet","gut",IF($F24="Literaturwert","befriedigend",IF($F24="Geschätzt","schlecht",IF($F24="Keine Angabe","nicht erhoben",IF($F24="Datenbank (Gabi) | NUR UMSICHT","GaBi",IF($F24="Datenbank (ecoinvent) | NUR UMSICHT","ecoinvent"))))))))</f>
        <v/>
      </c>
      <c r="H24" s="1"/>
      <c r="I24" s="1"/>
      <c r="J24" s="21"/>
      <c r="K24" s="43"/>
      <c r="N24" s="78"/>
    </row>
    <row r="25" spans="1:14" x14ac:dyDescent="0.25">
      <c r="A25" s="114" t="s">
        <v>383</v>
      </c>
      <c r="B25" s="3"/>
      <c r="C25" s="113"/>
      <c r="D25" s="227"/>
      <c r="E25" s="79"/>
      <c r="F25" s="1"/>
      <c r="G25" s="1"/>
      <c r="H25" s="1"/>
      <c r="I25" s="1"/>
      <c r="J25" s="21"/>
      <c r="K25" s="43"/>
      <c r="N25" s="78"/>
    </row>
    <row r="26" spans="1:14" x14ac:dyDescent="0.25">
      <c r="A26" s="114" t="s">
        <v>384</v>
      </c>
      <c r="B26" s="3"/>
      <c r="C26" s="113"/>
      <c r="D26" s="227"/>
      <c r="E26" s="79"/>
      <c r="F26" s="1"/>
      <c r="G26" s="1"/>
      <c r="H26" s="1"/>
      <c r="I26" s="1"/>
      <c r="J26" s="21"/>
      <c r="K26" s="43"/>
      <c r="N26" s="78"/>
    </row>
    <row r="27" spans="1:14" x14ac:dyDescent="0.25">
      <c r="A27" s="114" t="s">
        <v>385</v>
      </c>
      <c r="B27" s="3"/>
      <c r="C27" s="113"/>
      <c r="D27" s="227"/>
      <c r="E27" s="79"/>
      <c r="F27" s="1"/>
      <c r="G27" s="1"/>
      <c r="H27" s="1"/>
      <c r="I27" s="1"/>
      <c r="J27" s="21"/>
      <c r="K27" s="43"/>
      <c r="N27" s="78"/>
    </row>
    <row r="28" spans="1:14" x14ac:dyDescent="0.25">
      <c r="A28" s="114" t="s">
        <v>386</v>
      </c>
      <c r="B28" s="3"/>
      <c r="C28" s="113"/>
      <c r="D28" s="227"/>
      <c r="E28" s="79"/>
      <c r="F28" s="1"/>
      <c r="G28" s="1"/>
      <c r="H28" s="1"/>
      <c r="I28" s="1"/>
      <c r="J28" s="21"/>
      <c r="K28" s="43"/>
      <c r="N28" s="78"/>
    </row>
    <row r="29" spans="1:14" x14ac:dyDescent="0.25">
      <c r="A29" s="114" t="s">
        <v>212</v>
      </c>
      <c r="B29" s="3"/>
      <c r="C29" s="113"/>
      <c r="D29" s="228"/>
      <c r="E29" s="79"/>
      <c r="F29" s="1"/>
      <c r="G29" s="1"/>
      <c r="H29" s="1"/>
      <c r="I29" s="1"/>
      <c r="J29" s="21"/>
      <c r="K29" s="43"/>
      <c r="N29" s="78"/>
    </row>
    <row r="30" spans="1:14" x14ac:dyDescent="0.25">
      <c r="A30" s="135" t="s">
        <v>387</v>
      </c>
      <c r="B30" s="7"/>
      <c r="F30" s="1"/>
      <c r="G30" s="1"/>
      <c r="H30" s="1"/>
      <c r="I30" s="1"/>
      <c r="J30" s="21"/>
      <c r="K30" s="43"/>
    </row>
    <row r="31" spans="1:14" ht="41.4" x14ac:dyDescent="0.25">
      <c r="A31" s="10" t="s">
        <v>1010</v>
      </c>
      <c r="B31" s="11" t="s">
        <v>10</v>
      </c>
      <c r="C31" s="11" t="s">
        <v>1</v>
      </c>
      <c r="D31" s="11" t="s">
        <v>11</v>
      </c>
      <c r="E31" s="10" t="s">
        <v>12</v>
      </c>
      <c r="F31" s="35" t="s">
        <v>13</v>
      </c>
      <c r="G31" s="35" t="s">
        <v>14</v>
      </c>
      <c r="H31" s="35" t="s">
        <v>15</v>
      </c>
      <c r="I31" s="18" t="s">
        <v>16</v>
      </c>
      <c r="J31" s="18" t="s">
        <v>17</v>
      </c>
      <c r="K31" s="18" t="s">
        <v>18</v>
      </c>
      <c r="L31" s="11" t="s">
        <v>19</v>
      </c>
      <c r="N31" s="10"/>
    </row>
    <row r="32" spans="1:14" x14ac:dyDescent="0.25">
      <c r="A32" s="66" t="s">
        <v>22</v>
      </c>
      <c r="B32" s="11"/>
      <c r="C32" s="11"/>
      <c r="D32" s="11"/>
      <c r="E32" s="10"/>
      <c r="F32" s="35"/>
      <c r="G32" s="35"/>
      <c r="H32" s="35"/>
      <c r="I32" s="18"/>
      <c r="J32" s="18"/>
      <c r="K32" s="18"/>
      <c r="L32" s="11"/>
      <c r="N32" s="10"/>
    </row>
    <row r="33" spans="1:14" x14ac:dyDescent="0.25">
      <c r="A33" s="66" t="s">
        <v>25</v>
      </c>
      <c r="B33" s="11"/>
      <c r="C33" s="11"/>
      <c r="D33" s="11"/>
      <c r="E33" s="10"/>
      <c r="F33" s="35"/>
      <c r="G33" s="35"/>
      <c r="H33" s="35"/>
      <c r="I33" s="18"/>
      <c r="J33" s="18"/>
      <c r="K33" s="18"/>
      <c r="L33" s="11"/>
      <c r="N33" s="10"/>
    </row>
    <row r="34" spans="1:14" s="6" customFormat="1" x14ac:dyDescent="0.25">
      <c r="A34" s="4"/>
      <c r="B34" s="3"/>
      <c r="C34" s="99"/>
      <c r="D34" s="33"/>
      <c r="E34" s="78"/>
      <c r="F34" s="24"/>
      <c r="G34" s="24"/>
      <c r="H34" s="19"/>
      <c r="I34" s="19"/>
      <c r="J34" s="49"/>
      <c r="K34" s="49"/>
      <c r="L34" s="2"/>
      <c r="N34" s="78"/>
    </row>
    <row r="35" spans="1:14" s="6" customFormat="1" x14ac:dyDescent="0.25">
      <c r="A35" s="4"/>
      <c r="B35" s="15"/>
      <c r="C35" s="99"/>
      <c r="D35" s="33"/>
      <c r="E35" s="78"/>
      <c r="F35" s="24"/>
      <c r="G35" s="24"/>
      <c r="H35" s="19"/>
      <c r="I35" s="19"/>
      <c r="J35" s="14"/>
      <c r="K35" s="14"/>
      <c r="L35" s="2"/>
      <c r="N35" s="78"/>
    </row>
    <row r="36" spans="1:14" ht="41.4" x14ac:dyDescent="0.25">
      <c r="A36" s="10" t="s">
        <v>388</v>
      </c>
      <c r="B36" s="11" t="s">
        <v>10</v>
      </c>
      <c r="C36" s="11" t="s">
        <v>1</v>
      </c>
      <c r="D36" s="11" t="s">
        <v>11</v>
      </c>
      <c r="E36" s="10" t="s">
        <v>12</v>
      </c>
      <c r="F36" s="35" t="s">
        <v>13</v>
      </c>
      <c r="G36" s="35" t="s">
        <v>14</v>
      </c>
      <c r="H36" s="35" t="s">
        <v>15</v>
      </c>
      <c r="I36" s="18" t="s">
        <v>16</v>
      </c>
      <c r="J36" s="18" t="s">
        <v>17</v>
      </c>
      <c r="K36" s="18" t="s">
        <v>18</v>
      </c>
      <c r="L36" s="11" t="s">
        <v>19</v>
      </c>
      <c r="N36" s="10"/>
    </row>
    <row r="37" spans="1:14" ht="42.75" customHeight="1" x14ac:dyDescent="0.25">
      <c r="A37" s="66" t="s">
        <v>177</v>
      </c>
      <c r="B37" s="216" t="s">
        <v>389</v>
      </c>
      <c r="C37" s="217"/>
      <c r="D37" s="217"/>
      <c r="E37" s="218"/>
      <c r="F37" s="35"/>
      <c r="G37" s="35"/>
      <c r="H37" s="35"/>
      <c r="I37" s="18"/>
      <c r="J37" s="18"/>
      <c r="K37" s="18"/>
      <c r="L37" s="11"/>
      <c r="N37" s="10"/>
    </row>
    <row r="38" spans="1:14" s="86" customFormat="1" x14ac:dyDescent="0.25">
      <c r="A38" s="66" t="s">
        <v>22</v>
      </c>
      <c r="B38" s="87"/>
      <c r="C38" s="87">
        <v>1</v>
      </c>
      <c r="D38" s="87"/>
      <c r="E38" s="66"/>
      <c r="F38" s="95"/>
      <c r="G38" s="95"/>
      <c r="H38" s="95"/>
      <c r="I38" s="96"/>
      <c r="J38" s="96"/>
      <c r="K38" s="96"/>
      <c r="L38" s="87"/>
      <c r="M38" s="1"/>
      <c r="N38" s="10"/>
    </row>
    <row r="39" spans="1:14" s="86" customFormat="1" x14ac:dyDescent="0.25">
      <c r="A39" s="66" t="s">
        <v>25</v>
      </c>
      <c r="B39" s="87" t="s">
        <v>115</v>
      </c>
      <c r="C39" s="87">
        <v>10</v>
      </c>
      <c r="D39" s="87"/>
      <c r="E39" s="66"/>
      <c r="F39" s="95"/>
      <c r="G39" s="95"/>
      <c r="H39" s="95"/>
      <c r="I39" s="96"/>
      <c r="J39" s="96"/>
      <c r="K39" s="96"/>
      <c r="L39" s="87"/>
      <c r="M39" s="1"/>
      <c r="N39" s="10"/>
    </row>
    <row r="40" spans="1:14" ht="96.6" x14ac:dyDescent="0.25">
      <c r="A40" s="47" t="s">
        <v>26</v>
      </c>
      <c r="C40" s="23"/>
      <c r="D40" s="78" t="s">
        <v>390</v>
      </c>
      <c r="E40" s="78"/>
      <c r="F40" s="24"/>
      <c r="G40" s="24" t="str">
        <f>IF($F40="","",IF($F40="Gemessen","sehr gut",IF($F40="Berechnet","gut",IF($F40="Literaturwert","befriedigend",IF($F40="Geschätzt","schlecht",IF($F40="Keine Angabe","nicht erhoben",IF($F40="Datenbank (Gabi) | NUR UMSICHT","GaBi",IF($F40="Datenbank (ecoinvent) | NUR UMSICHT","ecoinvent"))))))))</f>
        <v/>
      </c>
      <c r="H40" s="19"/>
      <c r="I40" s="19"/>
      <c r="J40" s="29"/>
      <c r="K40" s="29"/>
      <c r="L40" s="2"/>
      <c r="N40" s="78"/>
    </row>
    <row r="41" spans="1:14" x14ac:dyDescent="0.25">
      <c r="A41" s="4" t="s">
        <v>36</v>
      </c>
      <c r="B41" s="4" t="s">
        <v>39</v>
      </c>
      <c r="C41" s="23">
        <v>1</v>
      </c>
      <c r="D41" s="25"/>
      <c r="E41" s="78"/>
      <c r="F41" s="25"/>
      <c r="G41" s="24" t="str">
        <f t="shared" ref="G41:G157" si="0">IF($F41="","",IF($F41="Gemessen","sehr gut",IF($F41="Berechnet","gut",IF($F41="Literaturwert","befriedigend",IF($F41="Geschätzt","schlecht",IF($F41="Keine Angabe","nicht erhoben",IF($F41="Datenbank (Gabi) | NUR UMSICHT","GaBi",IF($F41="Datenbank (ecoinvent) | NUR UMSICHT","ecoinvent"))))))))</f>
        <v/>
      </c>
      <c r="H41" s="19"/>
      <c r="I41" s="25"/>
      <c r="J41" s="55"/>
      <c r="K41" s="55"/>
      <c r="L41" s="2"/>
      <c r="N41" s="78"/>
    </row>
    <row r="42" spans="1:14" ht="29.4" x14ac:dyDescent="0.25">
      <c r="A42" s="4" t="s">
        <v>130</v>
      </c>
      <c r="B42" s="4" t="s">
        <v>131</v>
      </c>
      <c r="C42" s="23">
        <f>(20/26280000)*10</f>
        <v>7.6103500761035004E-6</v>
      </c>
      <c r="D42" s="146"/>
      <c r="E42" s="78" t="s">
        <v>325</v>
      </c>
      <c r="F42" s="25"/>
      <c r="G42" s="24"/>
      <c r="H42" s="19"/>
      <c r="I42" s="25"/>
      <c r="J42" s="55"/>
      <c r="K42" s="55"/>
      <c r="L42" s="2"/>
      <c r="N42" s="78"/>
    </row>
    <row r="43" spans="1:14" x14ac:dyDescent="0.25">
      <c r="A43" s="4" t="s">
        <v>134</v>
      </c>
      <c r="B43" s="4" t="s">
        <v>125</v>
      </c>
      <c r="C43" s="23">
        <f>($C$13/1451)*C39</f>
        <v>1.3888888888888889E-3</v>
      </c>
      <c r="D43" s="146"/>
      <c r="E43" s="78" t="s">
        <v>135</v>
      </c>
      <c r="F43" s="25"/>
      <c r="G43" s="24"/>
      <c r="H43" s="19"/>
      <c r="I43" s="25"/>
      <c r="J43" s="55"/>
      <c r="K43" s="55"/>
      <c r="L43" s="2"/>
      <c r="M43" s="78"/>
      <c r="N43" s="161"/>
    </row>
    <row r="44" spans="1:14" ht="27.6" x14ac:dyDescent="0.25">
      <c r="A44" s="2" t="s">
        <v>391</v>
      </c>
      <c r="B44" s="4" t="s">
        <v>33</v>
      </c>
      <c r="C44" s="165">
        <f>Allokationen!E52</f>
        <v>0.67462354563870475</v>
      </c>
      <c r="D44" s="25"/>
      <c r="E44" s="78" t="s">
        <v>137</v>
      </c>
      <c r="F44" s="25"/>
      <c r="G44" s="24"/>
      <c r="H44" s="19"/>
      <c r="I44" s="25"/>
      <c r="J44" s="55"/>
      <c r="K44" s="55"/>
      <c r="L44" s="2"/>
      <c r="N44" s="78"/>
    </row>
    <row r="45" spans="1:14" ht="27.6" x14ac:dyDescent="0.25">
      <c r="A45" s="70" t="s">
        <v>138</v>
      </c>
      <c r="B45" s="4" t="s">
        <v>33</v>
      </c>
      <c r="C45" s="165">
        <f>Allokationen!F52</f>
        <v>1.8659800198517364</v>
      </c>
      <c r="D45" s="25"/>
      <c r="E45" s="78" t="s">
        <v>137</v>
      </c>
      <c r="F45" s="25"/>
      <c r="G45" s="24"/>
      <c r="H45" s="19"/>
      <c r="I45" s="25"/>
      <c r="J45" s="55"/>
      <c r="K45" s="55"/>
      <c r="L45" s="2"/>
      <c r="N45" s="78"/>
    </row>
    <row r="46" spans="1:14" s="6" customFormat="1" ht="82.8" x14ac:dyDescent="0.25">
      <c r="A46" s="4" t="s">
        <v>140</v>
      </c>
      <c r="B46" s="3" t="s">
        <v>141</v>
      </c>
      <c r="C46" s="73">
        <f>10/2100</f>
        <v>4.7619047619047623E-3</v>
      </c>
      <c r="D46" s="33"/>
      <c r="E46" s="78" t="s">
        <v>142</v>
      </c>
      <c r="F46" s="24"/>
      <c r="G46" s="24"/>
      <c r="H46" s="19"/>
      <c r="I46" s="19"/>
      <c r="J46" s="49"/>
      <c r="K46" s="49"/>
      <c r="L46" s="2"/>
      <c r="N46" s="78"/>
    </row>
    <row r="47" spans="1:14" s="6" customFormat="1" ht="69" x14ac:dyDescent="0.25">
      <c r="A47" s="4" t="s">
        <v>151</v>
      </c>
      <c r="B47" s="3" t="s">
        <v>144</v>
      </c>
      <c r="C47" s="23">
        <f>2*(770*0.00526316)</f>
        <v>8.1052663999999996</v>
      </c>
      <c r="D47" s="33"/>
      <c r="E47" s="78" t="s">
        <v>152</v>
      </c>
      <c r="F47" s="24"/>
      <c r="G47" s="24"/>
      <c r="H47" s="19"/>
      <c r="I47" s="19"/>
      <c r="J47" s="49"/>
      <c r="K47" s="49"/>
      <c r="L47" s="2"/>
      <c r="N47" s="78" t="s">
        <v>153</v>
      </c>
    </row>
    <row r="48" spans="1:14" s="6" customFormat="1" x14ac:dyDescent="0.25">
      <c r="A48" s="4"/>
      <c r="B48" s="3"/>
      <c r="C48" s="99"/>
      <c r="D48" s="33"/>
      <c r="E48" s="78"/>
      <c r="F48" s="24"/>
      <c r="G48" s="24"/>
      <c r="H48" s="19"/>
      <c r="I48" s="19"/>
      <c r="J48" s="49"/>
      <c r="K48" s="49"/>
      <c r="L48" s="2"/>
      <c r="N48" s="78"/>
    </row>
    <row r="49" spans="1:14" x14ac:dyDescent="0.25">
      <c r="A49" s="46" t="s">
        <v>35</v>
      </c>
      <c r="B49" s="15"/>
      <c r="C49" s="23"/>
      <c r="D49" s="25"/>
      <c r="E49" s="78"/>
      <c r="F49" s="24"/>
      <c r="G49" s="24" t="str">
        <f t="shared" si="0"/>
        <v/>
      </c>
      <c r="H49" s="19"/>
      <c r="I49" s="19"/>
      <c r="J49" s="27"/>
      <c r="K49" s="27"/>
      <c r="L49" s="2"/>
      <c r="N49" s="78"/>
    </row>
    <row r="50" spans="1:14" x14ac:dyDescent="0.25">
      <c r="A50" s="4" t="s">
        <v>392</v>
      </c>
      <c r="B50" s="98" t="s">
        <v>37</v>
      </c>
      <c r="C50" s="23">
        <v>2</v>
      </c>
      <c r="D50" s="25"/>
      <c r="E50" s="78"/>
      <c r="F50" s="24"/>
      <c r="G50" s="24"/>
      <c r="H50" s="19"/>
      <c r="I50" s="19"/>
      <c r="J50" s="27"/>
      <c r="K50" s="27"/>
      <c r="L50" s="2"/>
      <c r="N50" s="78"/>
    </row>
    <row r="51" spans="1:14" x14ac:dyDescent="0.25">
      <c r="A51" s="4" t="s">
        <v>393</v>
      </c>
      <c r="B51" s="98" t="s">
        <v>37</v>
      </c>
      <c r="C51" s="23">
        <v>1</v>
      </c>
      <c r="D51" s="25"/>
      <c r="E51" s="78"/>
      <c r="F51" s="24"/>
      <c r="G51" s="24"/>
      <c r="H51" s="19"/>
      <c r="I51" s="19"/>
      <c r="J51" s="27"/>
      <c r="K51" s="27"/>
      <c r="L51" s="2"/>
      <c r="N51" s="78"/>
    </row>
    <row r="52" spans="1:14" ht="26.25" customHeight="1" x14ac:dyDescent="0.25">
      <c r="A52" s="70" t="s">
        <v>160</v>
      </c>
      <c r="B52" s="4" t="s">
        <v>45</v>
      </c>
      <c r="C52" s="73">
        <f>C47</f>
        <v>8.1052663999999996</v>
      </c>
      <c r="D52" s="25"/>
      <c r="E52" s="78"/>
      <c r="F52" s="24"/>
      <c r="G52" s="24"/>
      <c r="H52" s="19"/>
      <c r="I52" s="19"/>
      <c r="J52" s="14"/>
      <c r="K52" s="14"/>
      <c r="L52" s="2"/>
      <c r="N52" s="78" t="s">
        <v>161</v>
      </c>
    </row>
    <row r="53" spans="1:14" ht="27.9" customHeight="1" x14ac:dyDescent="0.25">
      <c r="A53" s="70" t="s">
        <v>162</v>
      </c>
      <c r="B53" s="4" t="s">
        <v>144</v>
      </c>
      <c r="C53" s="73">
        <f>0.004761905*200</f>
        <v>0.95238100000000003</v>
      </c>
      <c r="D53" s="25"/>
      <c r="E53" s="78"/>
      <c r="F53" s="24"/>
      <c r="G53" s="24"/>
      <c r="H53" s="19"/>
      <c r="I53" s="19"/>
      <c r="J53" s="14"/>
      <c r="K53" s="14"/>
      <c r="L53" s="2"/>
      <c r="N53" s="78" t="s">
        <v>163</v>
      </c>
    </row>
    <row r="54" spans="1:14" x14ac:dyDescent="0.25">
      <c r="A54" s="4"/>
      <c r="B54" s="98"/>
      <c r="C54" s="23"/>
      <c r="D54" s="25"/>
      <c r="E54" s="78"/>
      <c r="F54" s="24"/>
      <c r="G54" s="24"/>
      <c r="H54" s="19"/>
      <c r="I54" s="19"/>
      <c r="J54" s="27"/>
      <c r="K54" s="27"/>
      <c r="L54" s="2"/>
      <c r="N54" s="78"/>
    </row>
    <row r="55" spans="1:14" s="6" customFormat="1" x14ac:dyDescent="0.25">
      <c r="A55" s="46" t="s">
        <v>394</v>
      </c>
      <c r="B55" s="3"/>
      <c r="C55" s="99"/>
      <c r="D55" s="33"/>
      <c r="E55" s="78"/>
      <c r="F55" s="24"/>
      <c r="G55" s="24"/>
      <c r="H55" s="19"/>
      <c r="I55" s="19"/>
      <c r="J55" s="49"/>
      <c r="K55" s="49"/>
      <c r="L55" s="2"/>
      <c r="N55" s="78"/>
    </row>
    <row r="56" spans="1:14" s="6" customFormat="1" x14ac:dyDescent="0.25">
      <c r="A56" s="4" t="s">
        <v>166</v>
      </c>
      <c r="B56" s="3"/>
      <c r="C56" s="73"/>
      <c r="D56" s="33"/>
      <c r="E56" s="78" t="s">
        <v>167</v>
      </c>
      <c r="F56" s="24"/>
      <c r="G56" s="24"/>
      <c r="H56" s="19"/>
      <c r="I56" s="19"/>
      <c r="J56" s="49"/>
      <c r="K56" s="49"/>
      <c r="L56" s="2"/>
      <c r="N56" s="78"/>
    </row>
    <row r="57" spans="1:14" s="6" customFormat="1" x14ac:dyDescent="0.25">
      <c r="A57" s="4" t="s">
        <v>168</v>
      </c>
      <c r="B57" s="3"/>
      <c r="C57" s="73"/>
      <c r="D57" s="33"/>
      <c r="E57" s="78" t="s">
        <v>169</v>
      </c>
      <c r="F57" s="24"/>
      <c r="G57" s="24"/>
      <c r="H57" s="19"/>
      <c r="I57" s="19"/>
      <c r="J57" s="49"/>
      <c r="K57" s="49"/>
      <c r="L57" s="2"/>
      <c r="N57" s="78"/>
    </row>
    <row r="58" spans="1:14" s="6" customFormat="1" x14ac:dyDescent="0.25">
      <c r="A58" s="4" t="s">
        <v>170</v>
      </c>
      <c r="B58" s="3"/>
      <c r="C58" s="73"/>
      <c r="D58" s="33"/>
      <c r="E58" s="78"/>
      <c r="F58" s="24"/>
      <c r="G58" s="24"/>
      <c r="H58" s="19"/>
      <c r="I58" s="19"/>
      <c r="J58" s="49"/>
      <c r="K58" s="49"/>
      <c r="L58" s="2"/>
      <c r="N58" s="78"/>
    </row>
    <row r="59" spans="1:14" s="6" customFormat="1" x14ac:dyDescent="0.25">
      <c r="A59" s="4"/>
      <c r="B59" s="3"/>
      <c r="C59" s="99"/>
      <c r="D59" s="33"/>
      <c r="E59" s="78"/>
      <c r="F59" s="24"/>
      <c r="G59" s="24"/>
      <c r="H59" s="19"/>
      <c r="I59" s="19"/>
      <c r="J59" s="49"/>
      <c r="K59" s="49"/>
      <c r="L59" s="2"/>
      <c r="N59" s="78"/>
    </row>
    <row r="60" spans="1:14" s="6" customFormat="1" x14ac:dyDescent="0.25">
      <c r="A60" s="4"/>
      <c r="B60" s="3"/>
      <c r="C60" s="99"/>
      <c r="D60" s="33"/>
      <c r="E60" s="78"/>
      <c r="F60" s="24"/>
      <c r="G60" s="24"/>
      <c r="H60" s="19"/>
      <c r="I60" s="19"/>
      <c r="J60" s="49"/>
      <c r="K60" s="49"/>
      <c r="L60" s="2"/>
      <c r="N60" s="78"/>
    </row>
    <row r="61" spans="1:14" s="6" customFormat="1" x14ac:dyDescent="0.25">
      <c r="A61" s="4"/>
      <c r="B61" s="3"/>
      <c r="C61" s="99"/>
      <c r="D61" s="33"/>
      <c r="E61" s="78"/>
      <c r="F61" s="24"/>
      <c r="G61" s="24"/>
      <c r="H61" s="19"/>
      <c r="I61" s="19"/>
      <c r="J61" s="49"/>
      <c r="K61" s="49"/>
      <c r="L61" s="2"/>
      <c r="N61" s="78"/>
    </row>
    <row r="62" spans="1:14" s="6" customFormat="1" x14ac:dyDescent="0.25">
      <c r="A62" s="4"/>
      <c r="B62" s="3"/>
      <c r="C62" s="99"/>
      <c r="D62" s="33"/>
      <c r="E62" s="78"/>
      <c r="F62" s="24"/>
      <c r="G62" s="24"/>
      <c r="H62" s="19"/>
      <c r="I62" s="19"/>
      <c r="J62" s="49"/>
      <c r="K62" s="49"/>
      <c r="L62" s="2"/>
      <c r="N62" s="78"/>
    </row>
    <row r="63" spans="1:14" s="6" customFormat="1" x14ac:dyDescent="0.25">
      <c r="A63" s="4"/>
      <c r="B63" s="3"/>
      <c r="C63" s="99"/>
      <c r="D63" s="33"/>
      <c r="E63" s="78"/>
      <c r="F63" s="24"/>
      <c r="G63" s="24"/>
      <c r="H63" s="19"/>
      <c r="I63" s="19"/>
      <c r="J63" s="49"/>
      <c r="K63" s="49"/>
      <c r="L63" s="2"/>
      <c r="N63" s="78"/>
    </row>
    <row r="64" spans="1:14" x14ac:dyDescent="0.25">
      <c r="A64" s="2"/>
      <c r="B64" s="15"/>
      <c r="C64" s="23"/>
      <c r="D64" s="25"/>
      <c r="E64" s="78"/>
      <c r="F64" s="24"/>
      <c r="G64" s="24" t="str">
        <f t="shared" si="0"/>
        <v/>
      </c>
      <c r="H64" s="19"/>
      <c r="I64" s="19"/>
      <c r="J64" s="28"/>
      <c r="K64" s="28"/>
      <c r="L64" s="2"/>
      <c r="N64" s="78"/>
    </row>
    <row r="65" spans="1:15" ht="41.4" x14ac:dyDescent="0.25">
      <c r="A65" s="10" t="s">
        <v>395</v>
      </c>
      <c r="B65" s="11" t="s">
        <v>10</v>
      </c>
      <c r="C65" s="11" t="s">
        <v>1</v>
      </c>
      <c r="D65" s="11" t="s">
        <v>11</v>
      </c>
      <c r="E65" s="10" t="s">
        <v>12</v>
      </c>
      <c r="F65" s="35" t="s">
        <v>13</v>
      </c>
      <c r="G65" s="35" t="s">
        <v>14</v>
      </c>
      <c r="H65" s="35" t="s">
        <v>15</v>
      </c>
      <c r="I65" s="18" t="s">
        <v>16</v>
      </c>
      <c r="J65" s="18" t="s">
        <v>17</v>
      </c>
      <c r="K65" s="18" t="s">
        <v>18</v>
      </c>
      <c r="L65" s="11" t="s">
        <v>19</v>
      </c>
      <c r="N65" s="78"/>
    </row>
    <row r="66" spans="1:15" s="86" customFormat="1" ht="93" customHeight="1" x14ac:dyDescent="0.25">
      <c r="A66" s="66" t="s">
        <v>177</v>
      </c>
      <c r="B66" s="216" t="s">
        <v>396</v>
      </c>
      <c r="C66" s="217"/>
      <c r="D66" s="217"/>
      <c r="E66" s="218"/>
      <c r="F66" s="95"/>
      <c r="G66" s="95"/>
      <c r="H66" s="95"/>
      <c r="I66" s="96"/>
      <c r="J66" s="96"/>
      <c r="K66" s="96"/>
      <c r="L66" s="87"/>
      <c r="M66" s="1"/>
      <c r="N66" s="78"/>
    </row>
    <row r="67" spans="1:15" s="86" customFormat="1" x14ac:dyDescent="0.25">
      <c r="A67" s="66" t="s">
        <v>22</v>
      </c>
      <c r="B67" s="87"/>
      <c r="C67" s="87">
        <v>1</v>
      </c>
      <c r="D67" s="87"/>
      <c r="E67" s="66" t="s">
        <v>129</v>
      </c>
      <c r="F67" s="95"/>
      <c r="G67" s="95"/>
      <c r="H67" s="95"/>
      <c r="I67" s="96"/>
      <c r="J67" s="96"/>
      <c r="K67" s="96"/>
      <c r="L67" s="87"/>
      <c r="M67" s="1"/>
      <c r="N67" s="78"/>
    </row>
    <row r="68" spans="1:15" s="86" customFormat="1" x14ac:dyDescent="0.25">
      <c r="A68" s="66" t="s">
        <v>25</v>
      </c>
      <c r="B68" s="87" t="s">
        <v>115</v>
      </c>
      <c r="C68" s="87">
        <f>10+240</f>
        <v>250</v>
      </c>
      <c r="D68" s="87">
        <v>60</v>
      </c>
      <c r="E68" s="66"/>
      <c r="F68" s="95"/>
      <c r="G68" s="95"/>
      <c r="H68" s="95"/>
      <c r="I68" s="96"/>
      <c r="J68" s="96"/>
      <c r="K68" s="96"/>
      <c r="L68" s="87"/>
      <c r="M68" s="1"/>
      <c r="N68" s="78"/>
    </row>
    <row r="69" spans="1:15" x14ac:dyDescent="0.25">
      <c r="A69" s="46" t="s">
        <v>26</v>
      </c>
      <c r="B69" s="15"/>
      <c r="C69" s="23"/>
      <c r="D69" s="34"/>
      <c r="E69" s="78"/>
      <c r="F69" s="24"/>
      <c r="G69" s="24" t="str">
        <f t="shared" si="0"/>
        <v/>
      </c>
      <c r="H69" s="19"/>
      <c r="I69" s="19"/>
      <c r="J69" s="28"/>
      <c r="K69" s="28"/>
      <c r="L69" s="2"/>
      <c r="N69" s="78"/>
    </row>
    <row r="70" spans="1:15" x14ac:dyDescent="0.25">
      <c r="A70" s="4" t="s">
        <v>393</v>
      </c>
      <c r="B70" s="4" t="s">
        <v>39</v>
      </c>
      <c r="C70" s="23">
        <v>1</v>
      </c>
      <c r="D70" s="30"/>
      <c r="E70" s="80"/>
      <c r="F70" s="24"/>
      <c r="G70" s="24" t="str">
        <f t="shared" si="0"/>
        <v/>
      </c>
      <c r="H70" s="19"/>
      <c r="I70" s="19"/>
      <c r="J70" s="28"/>
      <c r="K70" s="28"/>
      <c r="L70" s="2"/>
      <c r="N70" s="78"/>
    </row>
    <row r="71" spans="1:15" ht="29.4" x14ac:dyDescent="0.25">
      <c r="A71" s="4" t="s">
        <v>130</v>
      </c>
      <c r="B71" s="4" t="s">
        <v>131</v>
      </c>
      <c r="C71" s="23">
        <f>(20/26280000)*250</f>
        <v>1.9025875190258751E-4</v>
      </c>
      <c r="D71" s="143"/>
      <c r="E71" s="78" t="s">
        <v>325</v>
      </c>
      <c r="F71" s="25"/>
      <c r="G71" s="24"/>
      <c r="H71" s="19"/>
      <c r="I71" s="25"/>
      <c r="J71" s="55"/>
      <c r="K71" s="55"/>
      <c r="L71" s="2"/>
      <c r="N71" s="78"/>
    </row>
    <row r="72" spans="1:15" x14ac:dyDescent="0.25">
      <c r="A72" s="4" t="s">
        <v>134</v>
      </c>
      <c r="B72" s="4" t="s">
        <v>125</v>
      </c>
      <c r="C72" s="23">
        <f>($C$13/1451)*C68</f>
        <v>3.4722222222222224E-2</v>
      </c>
      <c r="D72" s="146"/>
      <c r="E72" s="78" t="s">
        <v>135</v>
      </c>
      <c r="F72" s="25"/>
      <c r="G72" s="24"/>
      <c r="H72" s="19"/>
      <c r="I72" s="25"/>
      <c r="J72" s="55"/>
      <c r="K72" s="55"/>
      <c r="L72" s="2"/>
      <c r="M72" s="78"/>
      <c r="N72" s="161"/>
    </row>
    <row r="73" spans="1:15" ht="124.2" x14ac:dyDescent="0.25">
      <c r="A73" s="4" t="s">
        <v>397</v>
      </c>
      <c r="B73" s="4" t="s">
        <v>33</v>
      </c>
      <c r="C73" s="159"/>
      <c r="D73" s="172">
        <f>3.5*0.75</f>
        <v>2.625</v>
      </c>
      <c r="E73" s="78" t="s">
        <v>398</v>
      </c>
      <c r="F73" s="25"/>
      <c r="G73" s="24"/>
      <c r="H73" s="19"/>
      <c r="I73" s="25"/>
      <c r="J73" s="55"/>
      <c r="K73" s="55"/>
      <c r="L73" s="2"/>
      <c r="M73" s="157"/>
      <c r="N73" s="161"/>
    </row>
    <row r="74" spans="1:15" ht="27.6" x14ac:dyDescent="0.25">
      <c r="A74" s="4" t="s">
        <v>340</v>
      </c>
      <c r="B74" s="4" t="s">
        <v>33</v>
      </c>
      <c r="C74" s="169">
        <f>Allokationen!E53</f>
        <v>16.865588640967619</v>
      </c>
      <c r="D74" s="170"/>
      <c r="E74" s="78" t="s">
        <v>137</v>
      </c>
      <c r="F74" s="24"/>
      <c r="G74" s="24"/>
      <c r="H74" s="19"/>
      <c r="I74" s="19"/>
      <c r="J74" s="28"/>
      <c r="K74" s="28"/>
      <c r="L74" s="2"/>
      <c r="N74" s="78"/>
    </row>
    <row r="75" spans="1:15" ht="27.6" x14ac:dyDescent="0.25">
      <c r="A75" s="4" t="s">
        <v>399</v>
      </c>
      <c r="B75" s="4" t="s">
        <v>33</v>
      </c>
      <c r="C75" s="169">
        <f>Allokationen!F53</f>
        <v>46.649500496293413</v>
      </c>
      <c r="D75" s="170"/>
      <c r="E75" s="78" t="s">
        <v>137</v>
      </c>
      <c r="F75" s="24"/>
      <c r="G75" s="24"/>
      <c r="H75" s="19"/>
      <c r="I75" s="19"/>
      <c r="J75" s="28"/>
      <c r="K75" s="28"/>
      <c r="L75" s="2"/>
      <c r="N75" s="78"/>
    </row>
    <row r="76" spans="1:15" ht="151.80000000000001" x14ac:dyDescent="0.25">
      <c r="A76" s="4" t="s">
        <v>78</v>
      </c>
      <c r="B76" s="4" t="s">
        <v>188</v>
      </c>
      <c r="C76" s="23">
        <f>2*850</f>
        <v>1700</v>
      </c>
      <c r="D76" s="80"/>
      <c r="E76" s="80" t="s">
        <v>400</v>
      </c>
      <c r="F76" s="24"/>
      <c r="G76" s="24"/>
      <c r="H76" s="19"/>
      <c r="I76" s="19"/>
      <c r="J76" s="28"/>
      <c r="K76" s="28"/>
      <c r="L76" s="2"/>
      <c r="N76" s="78" t="s">
        <v>190</v>
      </c>
    </row>
    <row r="77" spans="1:15" ht="55.2" x14ac:dyDescent="0.25">
      <c r="A77" s="4" t="s">
        <v>385</v>
      </c>
      <c r="B77" s="4" t="s">
        <v>128</v>
      </c>
      <c r="C77" s="23">
        <v>0.1</v>
      </c>
      <c r="D77" s="30"/>
      <c r="E77" s="80" t="s">
        <v>401</v>
      </c>
      <c r="F77" s="24"/>
      <c r="G77" s="24"/>
      <c r="H77" s="19"/>
      <c r="I77" s="19"/>
      <c r="J77" s="28"/>
      <c r="K77" s="28"/>
      <c r="L77" s="2"/>
      <c r="N77" s="78"/>
      <c r="O77" s="6"/>
    </row>
    <row r="78" spans="1:15" s="6" customFormat="1" ht="55.2" x14ac:dyDescent="0.25">
      <c r="A78" s="4" t="s">
        <v>140</v>
      </c>
      <c r="B78" s="3" t="s">
        <v>141</v>
      </c>
      <c r="C78" s="73">
        <f>250/2100</f>
        <v>0.11904761904761904</v>
      </c>
      <c r="D78" s="33"/>
      <c r="E78" s="78" t="s">
        <v>327</v>
      </c>
      <c r="F78" s="24"/>
      <c r="G78" s="24"/>
      <c r="H78" s="19"/>
      <c r="I78" s="19"/>
      <c r="J78" s="49"/>
      <c r="K78" s="49"/>
      <c r="L78" s="2"/>
      <c r="N78" s="78"/>
    </row>
    <row r="79" spans="1:15" ht="27.6" x14ac:dyDescent="0.25">
      <c r="A79" s="2" t="s">
        <v>402</v>
      </c>
      <c r="B79" s="4" t="s">
        <v>128</v>
      </c>
      <c r="C79" s="23">
        <v>2.5</v>
      </c>
      <c r="D79" s="25"/>
      <c r="E79" s="78" t="s">
        <v>403</v>
      </c>
      <c r="F79" s="24"/>
      <c r="G79" s="24"/>
      <c r="H79" s="19"/>
      <c r="I79" s="19"/>
      <c r="J79" s="28"/>
      <c r="K79" s="28"/>
      <c r="L79" s="2"/>
      <c r="N79" s="78"/>
    </row>
    <row r="80" spans="1:15" ht="69" x14ac:dyDescent="0.25">
      <c r="A80" s="2" t="s">
        <v>151</v>
      </c>
      <c r="B80" s="4" t="s">
        <v>144</v>
      </c>
      <c r="C80" s="23">
        <f>2*(770*0.00526316)</f>
        <v>8.1052663999999996</v>
      </c>
      <c r="D80" s="33"/>
      <c r="E80" s="78" t="s">
        <v>152</v>
      </c>
      <c r="F80" s="24"/>
      <c r="G80" s="24"/>
      <c r="H80" s="19"/>
      <c r="I80" s="19"/>
      <c r="J80" s="28"/>
      <c r="K80" s="28"/>
      <c r="L80" s="2"/>
      <c r="N80" s="78"/>
    </row>
    <row r="81" spans="1:14" x14ac:dyDescent="0.25">
      <c r="A81" s="2"/>
      <c r="B81" s="4"/>
      <c r="C81" s="23"/>
      <c r="D81" s="25"/>
      <c r="E81" s="78"/>
      <c r="F81" s="24"/>
      <c r="G81" s="24"/>
      <c r="H81" s="19"/>
      <c r="I81" s="19"/>
      <c r="J81" s="28"/>
      <c r="K81" s="28"/>
      <c r="L81" s="2"/>
      <c r="N81" s="78"/>
    </row>
    <row r="82" spans="1:14" x14ac:dyDescent="0.25">
      <c r="A82" s="71" t="s">
        <v>35</v>
      </c>
      <c r="B82" s="15"/>
      <c r="C82" s="23"/>
      <c r="D82" s="25"/>
      <c r="E82" s="78"/>
      <c r="F82" s="24"/>
      <c r="G82" s="24" t="str">
        <f t="shared" si="0"/>
        <v/>
      </c>
      <c r="H82" s="19"/>
      <c r="I82" s="19"/>
      <c r="J82" s="28"/>
      <c r="K82" s="28"/>
      <c r="L82" s="2"/>
      <c r="N82" s="78"/>
    </row>
    <row r="83" spans="1:14" ht="12.6" customHeight="1" x14ac:dyDescent="0.25">
      <c r="A83" s="2" t="s">
        <v>404</v>
      </c>
      <c r="B83" s="4" t="s">
        <v>37</v>
      </c>
      <c r="C83" s="23">
        <v>1</v>
      </c>
      <c r="D83" s="25"/>
      <c r="E83" s="78"/>
      <c r="F83" s="24"/>
      <c r="G83" s="24"/>
      <c r="H83" s="19"/>
      <c r="I83" s="19"/>
      <c r="J83" s="28"/>
      <c r="K83" s="28"/>
      <c r="L83" s="2"/>
      <c r="N83" s="78"/>
    </row>
    <row r="84" spans="1:14" ht="27.6" x14ac:dyDescent="0.25">
      <c r="A84" s="2" t="s">
        <v>405</v>
      </c>
      <c r="B84" s="4" t="s">
        <v>45</v>
      </c>
      <c r="C84" s="25" t="s">
        <v>406</v>
      </c>
      <c r="D84" s="25"/>
      <c r="E84" s="78" t="s">
        <v>407</v>
      </c>
      <c r="F84" s="24"/>
      <c r="G84" s="24"/>
      <c r="H84" s="19"/>
      <c r="I84" s="19"/>
      <c r="J84" s="28"/>
      <c r="K84" s="28"/>
      <c r="L84" s="2"/>
      <c r="N84" s="78"/>
    </row>
    <row r="85" spans="1:14" ht="27.6" x14ac:dyDescent="0.25">
      <c r="A85" s="2" t="s">
        <v>408</v>
      </c>
      <c r="B85" s="4" t="s">
        <v>45</v>
      </c>
      <c r="C85" s="23">
        <f>0.1*0.34</f>
        <v>3.4000000000000002E-2</v>
      </c>
      <c r="D85" s="25"/>
      <c r="E85" s="78"/>
      <c r="F85" s="24"/>
      <c r="G85" s="24"/>
      <c r="H85" s="19"/>
      <c r="I85" s="19"/>
      <c r="J85" s="28"/>
      <c r="K85" s="28"/>
      <c r="L85" s="2"/>
      <c r="N85" s="78" t="s">
        <v>409</v>
      </c>
    </row>
    <row r="86" spans="1:14" ht="27.6" x14ac:dyDescent="0.25">
      <c r="A86" s="2" t="s">
        <v>410</v>
      </c>
      <c r="B86" s="4" t="s">
        <v>128</v>
      </c>
      <c r="C86" s="23">
        <v>2.5</v>
      </c>
      <c r="D86" s="25"/>
      <c r="E86" s="78" t="s">
        <v>403</v>
      </c>
      <c r="F86" s="24"/>
      <c r="G86" s="24"/>
      <c r="H86" s="19"/>
      <c r="I86" s="19"/>
      <c r="J86" s="28"/>
      <c r="K86" s="28"/>
      <c r="L86" s="2"/>
      <c r="N86" s="78" t="s">
        <v>411</v>
      </c>
    </row>
    <row r="87" spans="1:14" ht="27.6" x14ac:dyDescent="0.25">
      <c r="A87" s="2" t="s">
        <v>412</v>
      </c>
      <c r="B87" s="4" t="s">
        <v>413</v>
      </c>
      <c r="C87" s="23">
        <f>C79*0.1</f>
        <v>0.25</v>
      </c>
      <c r="D87" s="25"/>
      <c r="E87" s="78"/>
      <c r="F87" s="24"/>
      <c r="G87" s="24"/>
      <c r="H87" s="19"/>
      <c r="I87" s="19"/>
      <c r="J87" s="28"/>
      <c r="K87" s="28"/>
      <c r="L87" s="2"/>
      <c r="N87" s="78" t="s">
        <v>414</v>
      </c>
    </row>
    <row r="88" spans="1:14" ht="41.4" x14ac:dyDescent="0.25">
      <c r="A88" s="70" t="s">
        <v>415</v>
      </c>
      <c r="B88" s="4" t="s">
        <v>144</v>
      </c>
      <c r="C88" s="73">
        <f>C78*200</f>
        <v>23.809523809523807</v>
      </c>
      <c r="D88" s="25"/>
      <c r="E88" s="78"/>
      <c r="F88" s="24"/>
      <c r="G88" s="24"/>
      <c r="H88" s="19"/>
      <c r="I88" s="19"/>
      <c r="J88" s="14"/>
      <c r="K88" s="14"/>
      <c r="L88" s="2"/>
      <c r="N88" s="78" t="s">
        <v>163</v>
      </c>
    </row>
    <row r="89" spans="1:14" ht="27.6" x14ac:dyDescent="0.25">
      <c r="A89" s="70" t="s">
        <v>416</v>
      </c>
      <c r="B89" s="4" t="s">
        <v>144</v>
      </c>
      <c r="C89" s="73">
        <f>C80</f>
        <v>8.1052663999999996</v>
      </c>
      <c r="D89" s="25"/>
      <c r="E89" s="78"/>
      <c r="F89" s="24"/>
      <c r="G89" s="24"/>
      <c r="H89" s="19"/>
      <c r="I89" s="19"/>
      <c r="J89" s="14"/>
      <c r="K89" s="14"/>
      <c r="L89" s="2"/>
      <c r="N89" s="78" t="s">
        <v>417</v>
      </c>
    </row>
    <row r="90" spans="1:14" x14ac:dyDescent="0.25">
      <c r="A90" s="2"/>
      <c r="B90" s="4"/>
      <c r="C90" s="23"/>
      <c r="D90" s="25"/>
      <c r="E90" s="78"/>
      <c r="F90" s="24"/>
      <c r="G90" s="24"/>
      <c r="H90" s="19"/>
      <c r="I90" s="19"/>
      <c r="J90" s="28"/>
      <c r="K90" s="28"/>
      <c r="L90" s="2"/>
      <c r="N90" s="78"/>
    </row>
    <row r="91" spans="1:14" x14ac:dyDescent="0.25">
      <c r="A91" s="71" t="s">
        <v>259</v>
      </c>
      <c r="B91" s="4"/>
      <c r="C91" s="23"/>
      <c r="D91" s="25"/>
      <c r="E91" s="78"/>
      <c r="F91" s="24"/>
      <c r="G91" s="24"/>
      <c r="H91" s="19"/>
      <c r="I91" s="19"/>
      <c r="J91" s="28"/>
      <c r="K91" s="28"/>
      <c r="L91" s="2"/>
      <c r="N91" s="78"/>
    </row>
    <row r="92" spans="1:14" x14ac:dyDescent="0.25">
      <c r="A92" s="70" t="s">
        <v>418</v>
      </c>
      <c r="B92" s="4"/>
      <c r="C92" s="23"/>
      <c r="D92" s="25"/>
      <c r="E92" s="78" t="s">
        <v>419</v>
      </c>
      <c r="F92" s="24"/>
      <c r="G92" s="24"/>
      <c r="H92" s="19"/>
      <c r="I92" s="19"/>
      <c r="J92" s="14"/>
      <c r="K92" s="14"/>
      <c r="L92" s="2"/>
      <c r="N92" s="78"/>
    </row>
    <row r="93" spans="1:14" x14ac:dyDescent="0.25">
      <c r="A93" s="1" t="s">
        <v>420</v>
      </c>
      <c r="B93" s="4"/>
      <c r="C93" s="23"/>
      <c r="D93" s="25"/>
      <c r="E93" s="78" t="s">
        <v>421</v>
      </c>
      <c r="F93" s="24"/>
      <c r="G93" s="24" t="str">
        <f t="shared" si="0"/>
        <v/>
      </c>
      <c r="H93" s="19"/>
      <c r="I93" s="19"/>
      <c r="J93" s="28"/>
      <c r="K93" s="28"/>
      <c r="L93" s="2"/>
      <c r="N93" s="78"/>
    </row>
    <row r="94" spans="1:14" ht="27.6" x14ac:dyDescent="0.25">
      <c r="A94" s="2" t="s">
        <v>422</v>
      </c>
      <c r="B94" s="4"/>
      <c r="C94" s="23"/>
      <c r="D94" s="25"/>
      <c r="E94" s="78" t="s">
        <v>423</v>
      </c>
      <c r="F94" s="24"/>
      <c r="G94" s="24" t="str">
        <f>IF($F94="","",IF($F94="Gemessen","sehr gut",IF($F94="Berechnet","gut",IF($F94="Literaturwert","befriedigend",IF($F94="Geschätzt","schlecht",IF($F94="Keine Angabe","nicht erhoben",IF($F94="Datenbank (Gabi) | NUR UMSICHT","GaBi",IF($F94="Datenbank (ecoinvent) | NUR UMSICHT","ecoinvent"))))))))</f>
        <v/>
      </c>
      <c r="H94" s="19"/>
      <c r="I94" s="19"/>
      <c r="J94" s="27"/>
      <c r="K94" s="27"/>
      <c r="L94" s="20"/>
      <c r="N94" s="78"/>
    </row>
    <row r="95" spans="1:14" ht="41.4" x14ac:dyDescent="0.25">
      <c r="A95" s="2" t="s">
        <v>424</v>
      </c>
      <c r="B95" s="4"/>
      <c r="C95" s="23"/>
      <c r="D95" s="25"/>
      <c r="E95" s="78" t="s">
        <v>425</v>
      </c>
      <c r="F95" s="24"/>
      <c r="G95" s="24"/>
      <c r="H95" s="19"/>
      <c r="I95" s="19"/>
      <c r="J95" s="27"/>
      <c r="K95" s="27"/>
      <c r="L95" s="20"/>
      <c r="N95" s="78"/>
    </row>
    <row r="96" spans="1:14" x14ac:dyDescent="0.25">
      <c r="A96" s="2" t="s">
        <v>426</v>
      </c>
      <c r="B96" s="4"/>
      <c r="C96" s="23"/>
      <c r="D96" s="25"/>
      <c r="E96" s="78" t="s">
        <v>427</v>
      </c>
      <c r="F96" s="24"/>
      <c r="G96" s="24"/>
      <c r="H96" s="19"/>
      <c r="I96" s="19"/>
      <c r="J96" s="27"/>
      <c r="K96" s="27"/>
      <c r="L96" s="20"/>
      <c r="N96" s="78"/>
    </row>
    <row r="97" spans="1:14" x14ac:dyDescent="0.25">
      <c r="A97" s="2" t="s">
        <v>428</v>
      </c>
      <c r="B97" s="4"/>
      <c r="C97" s="23"/>
      <c r="D97" s="25"/>
      <c r="E97" s="78" t="s">
        <v>427</v>
      </c>
      <c r="F97" s="24"/>
      <c r="G97" s="24" t="str">
        <f>IF($F97="","",IF($F97="Gemessen","sehr gut",IF($F97="Berechnet","gut",IF($F97="Literaturwert","befriedigend",IF($F97="Geschätzt","schlecht",IF($F97="Keine Angabe","nicht erhoben",IF($F97="Datenbank (Gabi) | NUR UMSICHT","GaBi",IF($F97="Datenbank (ecoinvent) | NUR UMSICHT","ecoinvent"))))))))</f>
        <v/>
      </c>
      <c r="H97" s="19"/>
      <c r="I97" s="19"/>
      <c r="J97" s="28"/>
      <c r="K97" s="28"/>
      <c r="L97" s="2"/>
      <c r="N97" s="78"/>
    </row>
    <row r="98" spans="1:14" x14ac:dyDescent="0.25">
      <c r="A98" s="2" t="s">
        <v>429</v>
      </c>
      <c r="B98" s="4"/>
      <c r="C98" s="23"/>
      <c r="D98" s="25"/>
      <c r="E98" s="78" t="s">
        <v>427</v>
      </c>
      <c r="F98" s="24"/>
      <c r="G98" s="24"/>
      <c r="H98" s="19"/>
      <c r="I98" s="19"/>
      <c r="J98" s="28"/>
      <c r="K98" s="28"/>
      <c r="L98" s="2"/>
      <c r="N98" s="78"/>
    </row>
    <row r="99" spans="1:14" x14ac:dyDescent="0.25">
      <c r="A99" s="2" t="s">
        <v>430</v>
      </c>
      <c r="B99" s="4"/>
      <c r="C99" s="23"/>
      <c r="D99" s="25"/>
      <c r="E99" s="78" t="s">
        <v>427</v>
      </c>
      <c r="F99" s="24"/>
      <c r="G99" s="24" t="str">
        <f>IF($F99="","",IF($F99="Gemessen","sehr gut",IF($F99="Berechnet","gut",IF($F99="Literaturwert","befriedigend",IF($F99="Geschätzt","schlecht",IF($F99="Keine Angabe","nicht erhoben",IF($F99="Datenbank (Gabi) | NUR UMSICHT","GaBi",IF($F99="Datenbank (ecoinvent) | NUR UMSICHT","ecoinvent"))))))))</f>
        <v/>
      </c>
      <c r="H99" s="19"/>
      <c r="I99" s="19"/>
      <c r="J99" s="28"/>
      <c r="K99" s="28"/>
      <c r="L99" s="2"/>
      <c r="N99" s="78"/>
    </row>
    <row r="100" spans="1:14" ht="27.6" x14ac:dyDescent="0.25">
      <c r="A100" s="2" t="s">
        <v>431</v>
      </c>
      <c r="B100" s="4"/>
      <c r="C100" s="23"/>
      <c r="D100" s="25"/>
      <c r="E100" s="78" t="s">
        <v>432</v>
      </c>
      <c r="F100" s="24"/>
      <c r="G100" s="24"/>
      <c r="H100" s="19"/>
      <c r="I100" s="19"/>
      <c r="J100" s="28"/>
      <c r="K100" s="28"/>
      <c r="L100" s="2"/>
      <c r="N100" s="78"/>
    </row>
    <row r="101" spans="1:14" ht="27.6" x14ac:dyDescent="0.25">
      <c r="A101" s="70" t="s">
        <v>433</v>
      </c>
      <c r="B101" s="4" t="s">
        <v>219</v>
      </c>
      <c r="C101" s="23"/>
      <c r="D101" s="25"/>
      <c r="E101" s="78" t="s">
        <v>434</v>
      </c>
      <c r="F101" s="24"/>
      <c r="G101" s="24"/>
      <c r="H101" s="19"/>
      <c r="I101" s="19"/>
      <c r="J101" s="14"/>
      <c r="K101" s="14"/>
      <c r="L101" s="2"/>
      <c r="N101" s="78"/>
    </row>
    <row r="102" spans="1:14" x14ac:dyDescent="0.25">
      <c r="A102" s="70"/>
      <c r="B102" s="4"/>
      <c r="C102" s="23"/>
      <c r="D102" s="25"/>
      <c r="E102" s="78"/>
      <c r="F102" s="24"/>
      <c r="G102" s="24"/>
      <c r="H102" s="19"/>
      <c r="I102" s="19"/>
      <c r="J102" s="14"/>
      <c r="K102" s="14"/>
      <c r="L102" s="2"/>
      <c r="N102" s="78"/>
    </row>
    <row r="103" spans="1:14" ht="41.4" x14ac:dyDescent="0.25">
      <c r="A103" s="10" t="s">
        <v>435</v>
      </c>
      <c r="B103" s="11" t="s">
        <v>10</v>
      </c>
      <c r="C103" s="11" t="s">
        <v>1</v>
      </c>
      <c r="D103" s="11" t="s">
        <v>11</v>
      </c>
      <c r="E103" s="10" t="s">
        <v>12</v>
      </c>
      <c r="F103" s="35" t="s">
        <v>13</v>
      </c>
      <c r="G103" s="35" t="s">
        <v>14</v>
      </c>
      <c r="H103" s="35" t="s">
        <v>15</v>
      </c>
      <c r="I103" s="18" t="s">
        <v>16</v>
      </c>
      <c r="J103" s="18" t="s">
        <v>17</v>
      </c>
      <c r="K103" s="18" t="s">
        <v>18</v>
      </c>
      <c r="L103" s="11" t="s">
        <v>19</v>
      </c>
      <c r="N103" s="78"/>
    </row>
    <row r="104" spans="1:14" s="86" customFormat="1" ht="75.75" customHeight="1" x14ac:dyDescent="0.25">
      <c r="A104" s="66" t="s">
        <v>177</v>
      </c>
      <c r="B104" s="87"/>
      <c r="C104" s="216" t="s">
        <v>436</v>
      </c>
      <c r="D104" s="217"/>
      <c r="E104" s="218"/>
      <c r="F104" s="95"/>
      <c r="G104" s="95"/>
      <c r="H104" s="95"/>
      <c r="I104" s="96"/>
      <c r="J104" s="96"/>
      <c r="K104" s="96"/>
      <c r="L104" s="87"/>
      <c r="M104" s="1"/>
      <c r="N104" s="78"/>
    </row>
    <row r="105" spans="1:14" x14ac:dyDescent="0.25">
      <c r="A105" s="66" t="s">
        <v>22</v>
      </c>
      <c r="B105" s="87"/>
      <c r="C105" s="87">
        <v>1</v>
      </c>
      <c r="D105" s="87"/>
      <c r="E105" s="66"/>
      <c r="F105" s="95"/>
      <c r="G105" s="95"/>
      <c r="H105" s="95"/>
      <c r="I105" s="96"/>
      <c r="J105" s="96"/>
      <c r="K105" s="96"/>
      <c r="L105" s="87"/>
      <c r="N105" s="78"/>
    </row>
    <row r="106" spans="1:14" s="86" customFormat="1" ht="69" x14ac:dyDescent="0.25">
      <c r="A106" s="66" t="s">
        <v>25</v>
      </c>
      <c r="B106" s="87" t="s">
        <v>115</v>
      </c>
      <c r="C106" s="87" t="s">
        <v>437</v>
      </c>
      <c r="D106" s="87" t="s">
        <v>438</v>
      </c>
      <c r="E106" s="66" t="s">
        <v>439</v>
      </c>
      <c r="F106" s="95"/>
      <c r="G106" s="95"/>
      <c r="H106" s="95"/>
      <c r="I106" s="96"/>
      <c r="J106" s="96"/>
      <c r="K106" s="96"/>
      <c r="L106" s="87"/>
      <c r="M106" s="1"/>
      <c r="N106" s="78"/>
    </row>
    <row r="107" spans="1:14" ht="12.9" customHeight="1" x14ac:dyDescent="0.25">
      <c r="A107" s="46" t="s">
        <v>26</v>
      </c>
      <c r="B107" s="15"/>
      <c r="C107" s="23"/>
      <c r="D107" s="34"/>
      <c r="E107" s="78"/>
      <c r="F107" s="24"/>
      <c r="G107" s="24" t="str">
        <f t="shared" si="0"/>
        <v/>
      </c>
      <c r="H107" s="19"/>
      <c r="I107" s="19"/>
      <c r="J107" s="28"/>
      <c r="K107" s="28"/>
      <c r="L107" s="2"/>
      <c r="N107" s="78"/>
    </row>
    <row r="108" spans="1:14" x14ac:dyDescent="0.25">
      <c r="A108" s="2" t="s">
        <v>440</v>
      </c>
      <c r="B108" s="4" t="s">
        <v>39</v>
      </c>
      <c r="C108" s="23"/>
      <c r="D108" s="25"/>
      <c r="E108" s="78"/>
      <c r="F108" s="24"/>
      <c r="G108" s="24" t="str">
        <f t="shared" si="0"/>
        <v/>
      </c>
      <c r="H108" s="19"/>
      <c r="I108" s="19"/>
      <c r="J108" s="29"/>
      <c r="K108" s="29"/>
      <c r="L108" s="2"/>
      <c r="N108" s="78"/>
    </row>
    <row r="109" spans="1:14" ht="29.4" x14ac:dyDescent="0.25">
      <c r="A109" s="4" t="s">
        <v>130</v>
      </c>
      <c r="B109" s="4" t="s">
        <v>131</v>
      </c>
      <c r="C109" s="23">
        <f>(20/26280000)*(200+840)</f>
        <v>7.9147640791476408E-4</v>
      </c>
      <c r="D109" s="143"/>
      <c r="E109" s="78" t="s">
        <v>325</v>
      </c>
      <c r="F109" s="25"/>
      <c r="G109" s="24"/>
      <c r="H109" s="19"/>
      <c r="I109" s="25"/>
      <c r="J109" s="55"/>
      <c r="K109" s="55"/>
      <c r="L109" s="2"/>
      <c r="N109" s="78"/>
    </row>
    <row r="110" spans="1:14" x14ac:dyDescent="0.25">
      <c r="A110" s="4" t="s">
        <v>134</v>
      </c>
      <c r="B110" s="4" t="s">
        <v>125</v>
      </c>
      <c r="C110" s="23">
        <f>($C$13/1451)*(200+840)</f>
        <v>0.14444444444444443</v>
      </c>
      <c r="D110" s="146"/>
      <c r="E110" s="78" t="s">
        <v>135</v>
      </c>
      <c r="F110" s="25"/>
      <c r="G110" s="24"/>
      <c r="H110" s="19"/>
      <c r="I110" s="25"/>
      <c r="J110" s="55"/>
      <c r="K110" s="55"/>
      <c r="L110" s="2"/>
      <c r="M110" s="78"/>
      <c r="N110" s="161"/>
    </row>
    <row r="111" spans="1:14" ht="27.6" x14ac:dyDescent="0.25">
      <c r="A111" s="70" t="s">
        <v>182</v>
      </c>
      <c r="B111" s="4" t="s">
        <v>33</v>
      </c>
      <c r="C111" s="121"/>
      <c r="D111" s="172">
        <f>('Sachbilanz Stoßfänger'!D342/180)*200</f>
        <v>0.6333333333333333</v>
      </c>
      <c r="E111" s="78" t="s">
        <v>441</v>
      </c>
      <c r="F111" s="24"/>
      <c r="G111" s="24"/>
      <c r="H111" s="19"/>
      <c r="I111" s="19"/>
      <c r="J111" s="29"/>
      <c r="K111" s="29"/>
      <c r="L111" s="2"/>
      <c r="N111" s="78"/>
    </row>
    <row r="112" spans="1:14" ht="27.6" x14ac:dyDescent="0.25">
      <c r="A112" s="4" t="s">
        <v>186</v>
      </c>
      <c r="B112" s="4" t="s">
        <v>33</v>
      </c>
      <c r="C112" s="165">
        <f>Allokationen!E54</f>
        <v>13.492470912774095</v>
      </c>
      <c r="D112" s="168"/>
      <c r="E112" s="78" t="s">
        <v>137</v>
      </c>
      <c r="F112" s="24"/>
      <c r="G112" s="24"/>
      <c r="H112" s="19"/>
      <c r="I112" s="19"/>
      <c r="J112" s="28"/>
      <c r="K112" s="28"/>
      <c r="L112" s="2"/>
      <c r="N112" s="78"/>
    </row>
    <row r="113" spans="1:14" ht="27.6" x14ac:dyDescent="0.25">
      <c r="A113" s="70" t="s">
        <v>138</v>
      </c>
      <c r="B113" s="4" t="s">
        <v>33</v>
      </c>
      <c r="C113" s="169">
        <f>Allokationen!F54</f>
        <v>37.319600397034726</v>
      </c>
      <c r="D113" s="168"/>
      <c r="E113" s="78" t="s">
        <v>137</v>
      </c>
      <c r="F113" s="24"/>
      <c r="G113" s="24"/>
      <c r="H113" s="19"/>
      <c r="I113" s="19"/>
      <c r="J113" s="29"/>
      <c r="K113" s="29"/>
      <c r="L113" s="2"/>
      <c r="N113" s="78"/>
    </row>
    <row r="114" spans="1:14" ht="234.6" x14ac:dyDescent="0.25">
      <c r="A114" s="4" t="s">
        <v>187</v>
      </c>
      <c r="B114" s="4" t="s">
        <v>188</v>
      </c>
      <c r="C114" s="73">
        <f>4*300+0.5*333</f>
        <v>1366.5</v>
      </c>
      <c r="D114" s="78"/>
      <c r="E114" s="78" t="s">
        <v>442</v>
      </c>
      <c r="F114" s="24"/>
      <c r="G114" s="24"/>
      <c r="H114" s="19"/>
      <c r="I114" s="19"/>
      <c r="J114" s="28"/>
      <c r="K114" s="28"/>
      <c r="L114" s="2"/>
      <c r="N114" s="78" t="s">
        <v>190</v>
      </c>
    </row>
    <row r="115" spans="1:14" ht="55.2" x14ac:dyDescent="0.25">
      <c r="A115" s="4" t="s">
        <v>191</v>
      </c>
      <c r="B115" s="4" t="s">
        <v>144</v>
      </c>
      <c r="C115" s="73">
        <f>0.1*10.074</f>
        <v>1.0074000000000001</v>
      </c>
      <c r="D115" s="34"/>
      <c r="E115" s="78" t="s">
        <v>192</v>
      </c>
      <c r="F115" s="24"/>
      <c r="G115" s="24"/>
      <c r="H115" s="19"/>
      <c r="I115" s="19"/>
      <c r="J115" s="28"/>
      <c r="K115" s="28"/>
      <c r="L115" s="2"/>
      <c r="N115" s="78"/>
    </row>
    <row r="116" spans="1:14" ht="117.9" customHeight="1" x14ac:dyDescent="0.25">
      <c r="A116" s="4" t="s">
        <v>193</v>
      </c>
      <c r="B116" s="4" t="s">
        <v>144</v>
      </c>
      <c r="C116" s="73">
        <f>5*5.6</f>
        <v>28</v>
      </c>
      <c r="D116" s="34"/>
      <c r="E116" s="78" t="s">
        <v>443</v>
      </c>
      <c r="F116" s="24"/>
      <c r="G116" s="24"/>
      <c r="H116" s="19"/>
      <c r="I116" s="19"/>
      <c r="J116" s="28"/>
      <c r="K116" s="28"/>
      <c r="L116" s="2"/>
      <c r="N116" s="78"/>
    </row>
    <row r="117" spans="1:14" x14ac:dyDescent="0.25">
      <c r="A117" s="4" t="s">
        <v>195</v>
      </c>
      <c r="B117" s="4" t="s">
        <v>144</v>
      </c>
      <c r="C117" s="73">
        <f>11*5.6</f>
        <v>61.599999999999994</v>
      </c>
      <c r="D117" s="34"/>
      <c r="E117" s="142" t="s">
        <v>196</v>
      </c>
      <c r="F117" s="24"/>
      <c r="G117" s="24"/>
      <c r="H117" s="19"/>
      <c r="I117" s="19"/>
      <c r="J117" s="28"/>
      <c r="K117" s="28"/>
      <c r="L117" s="2"/>
      <c r="N117" s="78"/>
    </row>
    <row r="118" spans="1:14" ht="41.4" x14ac:dyDescent="0.25">
      <c r="A118" s="2" t="s">
        <v>197</v>
      </c>
      <c r="B118" s="4" t="s">
        <v>128</v>
      </c>
      <c r="C118" s="73">
        <v>2</v>
      </c>
      <c r="D118" s="25"/>
      <c r="E118" s="78" t="s">
        <v>198</v>
      </c>
      <c r="F118" s="24"/>
      <c r="G118" s="24"/>
      <c r="H118" s="19"/>
      <c r="I118" s="19"/>
      <c r="J118" s="28"/>
      <c r="K118" s="28"/>
      <c r="L118" s="2"/>
      <c r="N118" s="78"/>
    </row>
    <row r="119" spans="1:14" ht="69" x14ac:dyDescent="0.25">
      <c r="A119" s="70" t="s">
        <v>199</v>
      </c>
      <c r="B119" s="4" t="s">
        <v>144</v>
      </c>
      <c r="C119" s="73">
        <f>10*0.9</f>
        <v>9</v>
      </c>
      <c r="D119" s="25"/>
      <c r="E119" s="78" t="s">
        <v>200</v>
      </c>
      <c r="F119" s="24"/>
      <c r="G119" s="24"/>
      <c r="H119" s="19"/>
      <c r="I119" s="19"/>
      <c r="J119" s="14"/>
      <c r="K119" s="14"/>
      <c r="L119" s="2"/>
      <c r="N119" s="78" t="s">
        <v>201</v>
      </c>
    </row>
    <row r="120" spans="1:14" s="6" customFormat="1" ht="151.80000000000001" x14ac:dyDescent="0.25">
      <c r="A120" s="4" t="s">
        <v>202</v>
      </c>
      <c r="B120" s="3" t="s">
        <v>144</v>
      </c>
      <c r="C120" s="73">
        <f>0.1*28.57</f>
        <v>2.8570000000000002</v>
      </c>
      <c r="D120" s="33"/>
      <c r="E120" s="78" t="s">
        <v>203</v>
      </c>
      <c r="F120" s="24"/>
      <c r="G120" s="24"/>
      <c r="H120" s="19"/>
      <c r="I120" s="19"/>
      <c r="J120" s="49"/>
      <c r="K120" s="49"/>
      <c r="L120" s="2"/>
      <c r="N120" s="78" t="s">
        <v>204</v>
      </c>
    </row>
    <row r="121" spans="1:14" s="6" customFormat="1" ht="41.4" x14ac:dyDescent="0.25">
      <c r="A121" s="4" t="s">
        <v>69</v>
      </c>
      <c r="B121" s="3" t="s">
        <v>144</v>
      </c>
      <c r="C121" s="73">
        <v>800</v>
      </c>
      <c r="D121" s="33" t="s">
        <v>444</v>
      </c>
      <c r="E121" s="78" t="s">
        <v>445</v>
      </c>
      <c r="F121" s="24"/>
      <c r="G121" s="24"/>
      <c r="H121" s="19"/>
      <c r="I121" s="19"/>
      <c r="J121" s="49"/>
      <c r="K121" s="49"/>
      <c r="L121" s="2"/>
      <c r="N121" s="78"/>
    </row>
    <row r="122" spans="1:14" s="6" customFormat="1" ht="55.2" x14ac:dyDescent="0.25">
      <c r="A122" s="4" t="s">
        <v>206</v>
      </c>
      <c r="B122" s="3" t="s">
        <v>144</v>
      </c>
      <c r="C122" s="73">
        <f>0.02*C121</f>
        <v>16</v>
      </c>
      <c r="D122" s="33"/>
      <c r="E122" s="78" t="s">
        <v>446</v>
      </c>
      <c r="F122" s="24"/>
      <c r="G122" s="24"/>
      <c r="H122" s="19"/>
      <c r="I122" s="19"/>
      <c r="J122" s="49"/>
      <c r="K122" s="49"/>
      <c r="L122" s="2"/>
      <c r="N122" s="78"/>
    </row>
    <row r="123" spans="1:14" s="6" customFormat="1" ht="82.8" x14ac:dyDescent="0.25">
      <c r="A123" s="4" t="s">
        <v>208</v>
      </c>
      <c r="B123" s="3" t="s">
        <v>144</v>
      </c>
      <c r="C123" s="73">
        <f>(1/50)*11</f>
        <v>0.22</v>
      </c>
      <c r="D123" s="33"/>
      <c r="E123" s="78" t="s">
        <v>209</v>
      </c>
      <c r="F123" s="24"/>
      <c r="G123" s="24"/>
      <c r="H123" s="19"/>
      <c r="I123" s="19"/>
      <c r="J123" s="49"/>
      <c r="K123" s="49"/>
      <c r="L123" s="2"/>
      <c r="N123" s="78"/>
    </row>
    <row r="124" spans="1:14" s="6" customFormat="1" x14ac:dyDescent="0.25">
      <c r="A124" s="4" t="s">
        <v>210</v>
      </c>
      <c r="B124" s="3" t="s">
        <v>144</v>
      </c>
      <c r="C124" s="73">
        <v>1</v>
      </c>
      <c r="D124" s="33"/>
      <c r="E124" s="78" t="s">
        <v>211</v>
      </c>
      <c r="F124" s="24"/>
      <c r="G124" s="24"/>
      <c r="H124" s="19"/>
      <c r="I124" s="19"/>
      <c r="J124" s="49"/>
      <c r="K124" s="49"/>
      <c r="L124" s="2"/>
      <c r="N124" s="78"/>
    </row>
    <row r="125" spans="1:14" s="6" customFormat="1" ht="348.6" x14ac:dyDescent="0.25">
      <c r="A125" s="4" t="s">
        <v>212</v>
      </c>
      <c r="B125" s="3" t="s">
        <v>144</v>
      </c>
      <c r="C125" s="73">
        <f>631.8*3.8*0.00886</f>
        <v>21.271442399999998</v>
      </c>
      <c r="D125" s="33"/>
      <c r="E125" s="78" t="s">
        <v>447</v>
      </c>
      <c r="F125" s="24"/>
      <c r="G125" s="24"/>
      <c r="H125" s="19"/>
      <c r="I125" s="19"/>
      <c r="J125" s="49"/>
      <c r="K125" s="49"/>
      <c r="L125" s="2"/>
      <c r="N125" s="78" t="s">
        <v>448</v>
      </c>
    </row>
    <row r="126" spans="1:14" s="6" customFormat="1" ht="55.2" x14ac:dyDescent="0.25">
      <c r="A126" s="4" t="s">
        <v>76</v>
      </c>
      <c r="B126" s="3" t="s">
        <v>144</v>
      </c>
      <c r="C126" s="73">
        <f>0.265636*80</f>
        <v>21.250879999999999</v>
      </c>
      <c r="D126" s="33"/>
      <c r="E126" s="78" t="s">
        <v>449</v>
      </c>
      <c r="F126" s="24"/>
      <c r="G126" s="24"/>
      <c r="H126" s="19"/>
      <c r="I126" s="19"/>
      <c r="J126" s="49"/>
      <c r="K126" s="49"/>
      <c r="L126" s="2"/>
      <c r="N126" s="78" t="s">
        <v>450</v>
      </c>
    </row>
    <row r="127" spans="1:14" s="6" customFormat="1" ht="345" x14ac:dyDescent="0.25">
      <c r="A127" s="4" t="s">
        <v>451</v>
      </c>
      <c r="B127" s="3" t="s">
        <v>144</v>
      </c>
      <c r="C127" s="73">
        <f>255.98*0.915</f>
        <v>234.2217</v>
      </c>
      <c r="D127" s="33"/>
      <c r="E127" s="78" t="s">
        <v>452</v>
      </c>
      <c r="F127" s="24"/>
      <c r="G127" s="24"/>
      <c r="H127" s="19"/>
      <c r="I127" s="19"/>
      <c r="J127" s="49"/>
      <c r="K127" s="49"/>
      <c r="L127" s="2"/>
      <c r="N127" s="78" t="s">
        <v>453</v>
      </c>
    </row>
    <row r="128" spans="1:14" s="6" customFormat="1" ht="42" customHeight="1" x14ac:dyDescent="0.25">
      <c r="A128" s="4" t="s">
        <v>216</v>
      </c>
      <c r="B128" s="3" t="s">
        <v>144</v>
      </c>
      <c r="C128" s="73">
        <f>2*8.4</f>
        <v>16.8</v>
      </c>
      <c r="D128" s="33"/>
      <c r="E128" s="78" t="s">
        <v>217</v>
      </c>
      <c r="F128" s="24"/>
      <c r="G128" s="24"/>
      <c r="H128" s="19"/>
      <c r="I128" s="19"/>
      <c r="J128" s="49"/>
      <c r="K128" s="49"/>
      <c r="L128" s="2"/>
      <c r="N128" s="78"/>
    </row>
    <row r="129" spans="1:20" s="6" customFormat="1" ht="55.2" x14ac:dyDescent="0.25">
      <c r="A129" s="4" t="s">
        <v>218</v>
      </c>
      <c r="B129" s="3" t="s">
        <v>219</v>
      </c>
      <c r="C129" s="73">
        <v>145</v>
      </c>
      <c r="D129" s="33"/>
      <c r="E129" s="78" t="s">
        <v>454</v>
      </c>
      <c r="F129" s="24"/>
      <c r="G129" s="24"/>
      <c r="H129" s="19"/>
      <c r="I129" s="19"/>
      <c r="J129" s="49"/>
      <c r="K129" s="49"/>
      <c r="L129" s="2"/>
      <c r="N129" s="78" t="s">
        <v>221</v>
      </c>
    </row>
    <row r="130" spans="1:20" s="6" customFormat="1" ht="193.2" x14ac:dyDescent="0.25">
      <c r="A130" s="4" t="s">
        <v>222</v>
      </c>
      <c r="B130" s="3" t="s">
        <v>219</v>
      </c>
      <c r="C130" s="73">
        <v>200</v>
      </c>
      <c r="D130" s="33"/>
      <c r="E130" s="78" t="s">
        <v>455</v>
      </c>
      <c r="F130" s="24"/>
      <c r="G130" s="24"/>
      <c r="H130" s="19"/>
      <c r="I130" s="19"/>
      <c r="J130" s="49"/>
      <c r="K130" s="49"/>
      <c r="L130" s="2"/>
      <c r="N130" s="78" t="s">
        <v>224</v>
      </c>
    </row>
    <row r="131" spans="1:20" s="6" customFormat="1" ht="82.8" x14ac:dyDescent="0.25">
      <c r="A131" s="4" t="s">
        <v>225</v>
      </c>
      <c r="B131" s="3" t="s">
        <v>219</v>
      </c>
      <c r="C131" s="73">
        <v>50</v>
      </c>
      <c r="D131" s="33"/>
      <c r="E131" s="78" t="s">
        <v>226</v>
      </c>
      <c r="F131" s="24"/>
      <c r="G131" s="24"/>
      <c r="H131" s="19"/>
      <c r="I131" s="19"/>
      <c r="J131" s="49"/>
      <c r="K131" s="49"/>
      <c r="L131" s="2"/>
      <c r="N131" s="78" t="s">
        <v>227</v>
      </c>
    </row>
    <row r="132" spans="1:20" s="6" customFormat="1" ht="82.8" x14ac:dyDescent="0.25">
      <c r="A132" s="4" t="s">
        <v>228</v>
      </c>
      <c r="B132" s="3" t="s">
        <v>219</v>
      </c>
      <c r="C132" s="73">
        <v>25</v>
      </c>
      <c r="D132" s="33"/>
      <c r="E132" s="78" t="s">
        <v>456</v>
      </c>
      <c r="F132" s="24"/>
      <c r="G132" s="24"/>
      <c r="H132" s="19"/>
      <c r="I132" s="19"/>
      <c r="J132" s="49"/>
      <c r="K132" s="49"/>
      <c r="L132" s="2"/>
      <c r="N132" s="78" t="s">
        <v>227</v>
      </c>
    </row>
    <row r="133" spans="1:20" s="6" customFormat="1" ht="124.2" x14ac:dyDescent="0.25">
      <c r="A133" s="4" t="s">
        <v>230</v>
      </c>
      <c r="B133" s="3" t="s">
        <v>344</v>
      </c>
      <c r="C133" s="73">
        <v>18</v>
      </c>
      <c r="D133" s="33"/>
      <c r="E133" s="78" t="s">
        <v>231</v>
      </c>
      <c r="F133" s="24"/>
      <c r="G133" s="24"/>
      <c r="H133" s="19"/>
      <c r="I133" s="19"/>
      <c r="J133" s="49"/>
      <c r="K133" s="49"/>
      <c r="L133" s="2"/>
      <c r="N133" s="78" t="s">
        <v>232</v>
      </c>
    </row>
    <row r="134" spans="1:20" s="6" customFormat="1" x14ac:dyDescent="0.25">
      <c r="A134" s="70"/>
      <c r="B134" s="4"/>
      <c r="C134" s="99"/>
      <c r="D134" s="33"/>
      <c r="E134" s="78"/>
      <c r="F134" s="24"/>
      <c r="G134" s="24"/>
      <c r="H134" s="19"/>
      <c r="I134" s="19"/>
      <c r="J134" s="49"/>
      <c r="K134" s="49"/>
      <c r="L134" s="2"/>
      <c r="N134" s="78"/>
    </row>
    <row r="135" spans="1:20" s="63" customFormat="1" x14ac:dyDescent="0.25">
      <c r="A135" s="72" t="s">
        <v>35</v>
      </c>
      <c r="B135" s="56"/>
      <c r="C135" s="101"/>
      <c r="D135" s="57"/>
      <c r="E135" s="82"/>
      <c r="F135" s="59"/>
      <c r="G135" s="59" t="str">
        <f t="shared" si="0"/>
        <v/>
      </c>
      <c r="H135" s="60"/>
      <c r="I135" s="60"/>
      <c r="J135" s="61"/>
      <c r="K135" s="61"/>
      <c r="L135" s="62"/>
      <c r="N135" s="78"/>
      <c r="O135" s="213"/>
      <c r="P135" s="213"/>
      <c r="Q135" s="213"/>
      <c r="R135" s="213"/>
      <c r="S135" s="213"/>
      <c r="T135" s="213"/>
    </row>
    <row r="136" spans="1:20" s="6" customFormat="1" x14ac:dyDescent="0.25">
      <c r="A136" s="4" t="s">
        <v>457</v>
      </c>
      <c r="B136" s="4" t="s">
        <v>37</v>
      </c>
      <c r="C136" s="99">
        <v>1</v>
      </c>
      <c r="D136" s="33"/>
      <c r="E136" s="78"/>
      <c r="F136" s="24"/>
      <c r="G136" s="24" t="str">
        <f t="shared" si="0"/>
        <v/>
      </c>
      <c r="H136" s="19"/>
      <c r="I136" s="19"/>
      <c r="J136" s="14"/>
      <c r="K136" s="14"/>
      <c r="L136" s="2"/>
      <c r="N136" s="78"/>
    </row>
    <row r="137" spans="1:20" ht="55.2" x14ac:dyDescent="0.25">
      <c r="A137" s="2" t="s">
        <v>234</v>
      </c>
      <c r="B137" s="4" t="s">
        <v>144</v>
      </c>
      <c r="C137" s="73">
        <v>114</v>
      </c>
      <c r="D137" s="25"/>
      <c r="E137" s="78" t="s">
        <v>458</v>
      </c>
      <c r="F137" s="24"/>
      <c r="G137" s="24"/>
      <c r="H137" s="19"/>
      <c r="I137" s="19"/>
      <c r="J137" s="28"/>
      <c r="K137" s="28"/>
      <c r="L137" s="2"/>
      <c r="N137" s="78" t="s">
        <v>236</v>
      </c>
    </row>
    <row r="138" spans="1:20" ht="27.6" x14ac:dyDescent="0.25">
      <c r="A138" s="2" t="s">
        <v>237</v>
      </c>
      <c r="B138" s="4" t="s">
        <v>144</v>
      </c>
      <c r="C138" s="73">
        <v>3.9</v>
      </c>
      <c r="D138" s="25"/>
      <c r="E138" s="78" t="s">
        <v>459</v>
      </c>
      <c r="F138" s="24"/>
      <c r="G138" s="24"/>
      <c r="H138" s="19"/>
      <c r="I138" s="19"/>
      <c r="J138" s="28"/>
      <c r="K138" s="28"/>
      <c r="L138" s="2"/>
      <c r="N138" s="78" t="s">
        <v>236</v>
      </c>
    </row>
    <row r="139" spans="1:20" s="6" customFormat="1" ht="27.6" x14ac:dyDescent="0.25">
      <c r="A139" s="4" t="s">
        <v>240</v>
      </c>
      <c r="B139" s="4" t="s">
        <v>144</v>
      </c>
      <c r="C139" s="99"/>
      <c r="D139" s="33"/>
      <c r="E139" s="121" t="s">
        <v>241</v>
      </c>
      <c r="F139" s="24"/>
      <c r="G139" s="24" t="str">
        <f t="shared" si="0"/>
        <v/>
      </c>
      <c r="H139" s="19"/>
      <c r="I139" s="19"/>
      <c r="J139" s="14"/>
      <c r="K139" s="14"/>
      <c r="L139" s="2"/>
      <c r="N139" s="78" t="s">
        <v>236</v>
      </c>
    </row>
    <row r="140" spans="1:20" s="6" customFormat="1" ht="27.6" x14ac:dyDescent="0.25">
      <c r="A140" s="4" t="s">
        <v>242</v>
      </c>
      <c r="B140" s="4" t="s">
        <v>144</v>
      </c>
      <c r="C140" s="23">
        <f>C115</f>
        <v>1.0074000000000001</v>
      </c>
      <c r="D140" s="33"/>
      <c r="E140" s="78"/>
      <c r="F140" s="24"/>
      <c r="G140" s="24"/>
      <c r="H140" s="19"/>
      <c r="I140" s="19"/>
      <c r="J140" s="14"/>
      <c r="K140" s="14"/>
      <c r="L140" s="2"/>
      <c r="N140" s="78" t="s">
        <v>236</v>
      </c>
    </row>
    <row r="141" spans="1:20" ht="82.8" x14ac:dyDescent="0.25">
      <c r="A141" s="4" t="s">
        <v>243</v>
      </c>
      <c r="B141" s="4" t="s">
        <v>144</v>
      </c>
      <c r="C141" s="73">
        <f>5*6.55</f>
        <v>32.75</v>
      </c>
      <c r="D141" s="34"/>
      <c r="E141" s="78" t="s">
        <v>244</v>
      </c>
      <c r="F141" s="24"/>
      <c r="G141" s="24"/>
      <c r="H141" s="19"/>
      <c r="I141" s="19"/>
      <c r="J141" s="28"/>
      <c r="K141" s="28"/>
      <c r="L141" s="2"/>
      <c r="N141" s="78" t="s">
        <v>236</v>
      </c>
    </row>
    <row r="142" spans="1:20" ht="27.6" x14ac:dyDescent="0.25">
      <c r="A142" s="4" t="s">
        <v>245</v>
      </c>
      <c r="B142" s="4" t="s">
        <v>144</v>
      </c>
      <c r="C142" s="73">
        <f>11*6.55</f>
        <v>72.05</v>
      </c>
      <c r="D142" s="34"/>
      <c r="E142" s="78" t="s">
        <v>196</v>
      </c>
      <c r="F142" s="24"/>
      <c r="G142" s="24"/>
      <c r="H142" s="19"/>
      <c r="I142" s="19"/>
      <c r="J142" s="28"/>
      <c r="K142" s="28"/>
      <c r="L142" s="2"/>
      <c r="N142" s="78" t="s">
        <v>236</v>
      </c>
    </row>
    <row r="143" spans="1:20" ht="41.4" x14ac:dyDescent="0.25">
      <c r="A143" s="2" t="s">
        <v>246</v>
      </c>
      <c r="B143" s="4" t="s">
        <v>144</v>
      </c>
      <c r="C143" s="23">
        <f>2*7.8</f>
        <v>15.6</v>
      </c>
      <c r="D143" s="25"/>
      <c r="E143" s="78" t="s">
        <v>198</v>
      </c>
      <c r="F143" s="24"/>
      <c r="G143" s="24"/>
      <c r="H143" s="19"/>
      <c r="I143" s="19"/>
      <c r="J143" s="28"/>
      <c r="K143" s="28"/>
      <c r="L143" s="2"/>
      <c r="N143" s="78" t="s">
        <v>236</v>
      </c>
    </row>
    <row r="144" spans="1:20" ht="29.4" customHeight="1" x14ac:dyDescent="0.25">
      <c r="A144" s="2" t="s">
        <v>247</v>
      </c>
      <c r="B144" s="4" t="s">
        <v>144</v>
      </c>
      <c r="C144" s="23">
        <f>C120</f>
        <v>2.8570000000000002</v>
      </c>
      <c r="D144" s="25"/>
      <c r="E144" s="78"/>
      <c r="F144" s="24"/>
      <c r="G144" s="24"/>
      <c r="H144" s="19"/>
      <c r="I144" s="19"/>
      <c r="J144" s="28"/>
      <c r="K144" s="28"/>
      <c r="L144" s="2"/>
      <c r="N144" s="78" t="s">
        <v>163</v>
      </c>
    </row>
    <row r="145" spans="1:14" ht="54.9" customHeight="1" x14ac:dyDescent="0.25">
      <c r="A145" s="2" t="s">
        <v>248</v>
      </c>
      <c r="B145" s="4" t="s">
        <v>144</v>
      </c>
      <c r="C145" s="23">
        <f>C123</f>
        <v>0.22</v>
      </c>
      <c r="D145" s="25"/>
      <c r="E145" s="78"/>
      <c r="F145" s="24"/>
      <c r="G145" s="24"/>
      <c r="H145" s="19"/>
      <c r="I145" s="19"/>
      <c r="J145" s="28"/>
      <c r="K145" s="28"/>
      <c r="L145" s="2"/>
      <c r="N145" s="78" t="s">
        <v>158</v>
      </c>
    </row>
    <row r="146" spans="1:14" ht="26.25" customHeight="1" x14ac:dyDescent="0.25">
      <c r="A146" s="2" t="s">
        <v>249</v>
      </c>
      <c r="B146" s="4" t="s">
        <v>344</v>
      </c>
      <c r="C146" s="23">
        <v>18</v>
      </c>
      <c r="D146" s="25"/>
      <c r="E146" s="78"/>
      <c r="F146" s="24"/>
      <c r="G146" s="24"/>
      <c r="H146" s="19"/>
      <c r="I146" s="19"/>
      <c r="J146" s="28"/>
      <c r="K146" s="28"/>
      <c r="L146" s="2"/>
      <c r="N146" s="78" t="s">
        <v>250</v>
      </c>
    </row>
    <row r="147" spans="1:14" ht="41.4" x14ac:dyDescent="0.25">
      <c r="A147" s="2" t="s">
        <v>251</v>
      </c>
      <c r="B147" s="4" t="s">
        <v>144</v>
      </c>
      <c r="C147" s="73">
        <f>C128</f>
        <v>16.8</v>
      </c>
      <c r="D147" s="25"/>
      <c r="E147" s="78" t="s">
        <v>252</v>
      </c>
      <c r="F147" s="24"/>
      <c r="G147" s="24"/>
      <c r="H147" s="19"/>
      <c r="I147" s="19"/>
      <c r="J147" s="28"/>
      <c r="K147" s="28"/>
      <c r="L147" s="2"/>
      <c r="N147" s="78" t="s">
        <v>253</v>
      </c>
    </row>
    <row r="148" spans="1:14" s="6" customFormat="1" ht="69" x14ac:dyDescent="0.25">
      <c r="A148" s="4" t="s">
        <v>460</v>
      </c>
      <c r="B148" s="4" t="s">
        <v>144</v>
      </c>
      <c r="C148" s="73">
        <f>10.24896*0.915</f>
        <v>9.3777984000000014</v>
      </c>
      <c r="D148" s="33"/>
      <c r="E148" s="78" t="s">
        <v>461</v>
      </c>
      <c r="F148" s="24"/>
      <c r="G148" s="24"/>
      <c r="H148" s="19"/>
      <c r="I148" s="19"/>
      <c r="J148" s="14"/>
      <c r="K148" s="14"/>
      <c r="L148" s="2"/>
      <c r="N148" s="78" t="s">
        <v>158</v>
      </c>
    </row>
    <row r="149" spans="1:14" ht="24.9" customHeight="1" thickBot="1" x14ac:dyDescent="0.3">
      <c r="A149" s="4" t="s">
        <v>255</v>
      </c>
      <c r="B149" s="4" t="s">
        <v>156</v>
      </c>
      <c r="C149" s="23">
        <f>0.1*(((SUM(C129:C132)/1.36)/1000)*600)</f>
        <v>18.529411764705884</v>
      </c>
      <c r="D149" s="34"/>
      <c r="E149" s="78" t="s">
        <v>462</v>
      </c>
      <c r="F149" s="175"/>
      <c r="G149" s="24"/>
      <c r="H149" s="23"/>
      <c r="I149" s="23"/>
      <c r="J149" s="176"/>
      <c r="K149" s="176"/>
      <c r="L149" s="113"/>
      <c r="M149" s="78"/>
      <c r="N149" s="177"/>
    </row>
    <row r="150" spans="1:14" ht="12.6" customHeight="1" x14ac:dyDescent="0.25">
      <c r="A150" s="4"/>
      <c r="B150" s="4"/>
      <c r="C150" s="23"/>
      <c r="D150" s="34"/>
      <c r="E150" s="180"/>
      <c r="F150" s="178"/>
      <c r="G150" s="24"/>
      <c r="H150" s="23"/>
      <c r="I150" s="23"/>
      <c r="J150" s="176"/>
      <c r="K150" s="176"/>
      <c r="L150" s="113"/>
      <c r="M150" s="157"/>
      <c r="N150" s="179"/>
    </row>
    <row r="151" spans="1:14" x14ac:dyDescent="0.25">
      <c r="A151" s="71" t="s">
        <v>259</v>
      </c>
      <c r="B151" s="4"/>
      <c r="C151" s="23"/>
      <c r="D151" s="25"/>
      <c r="E151" s="78"/>
      <c r="F151" s="24"/>
      <c r="G151" s="24" t="str">
        <f t="shared" si="0"/>
        <v/>
      </c>
      <c r="H151" s="19"/>
      <c r="I151" s="19"/>
      <c r="J151" s="28"/>
      <c r="K151" s="28"/>
      <c r="L151" s="2"/>
      <c r="N151" s="78"/>
    </row>
    <row r="152" spans="1:14" ht="82.8" x14ac:dyDescent="0.25">
      <c r="A152" s="4" t="s">
        <v>260</v>
      </c>
      <c r="B152" s="4"/>
      <c r="C152" s="73" t="s">
        <v>261</v>
      </c>
      <c r="D152" s="34"/>
      <c r="E152" s="78" t="s">
        <v>262</v>
      </c>
      <c r="F152" s="24"/>
      <c r="G152" s="24"/>
      <c r="H152" s="19"/>
      <c r="I152" s="19"/>
      <c r="J152" s="28"/>
      <c r="K152" s="28"/>
      <c r="L152" s="2"/>
      <c r="N152" s="78"/>
    </row>
    <row r="153" spans="1:14" ht="69" x14ac:dyDescent="0.25">
      <c r="A153" s="4" t="s">
        <v>263</v>
      </c>
      <c r="B153" s="4"/>
      <c r="C153" s="73"/>
      <c r="D153" s="34"/>
      <c r="E153" s="78" t="s">
        <v>264</v>
      </c>
      <c r="F153" s="24"/>
      <c r="G153" s="24"/>
      <c r="H153" s="19"/>
      <c r="I153" s="19"/>
      <c r="J153" s="28"/>
      <c r="K153" s="28"/>
      <c r="L153" s="2"/>
      <c r="N153" s="78"/>
    </row>
    <row r="154" spans="1:14" s="6" customFormat="1" ht="27.6" x14ac:dyDescent="0.25">
      <c r="A154" s="4" t="s">
        <v>267</v>
      </c>
      <c r="B154" s="3" t="s">
        <v>128</v>
      </c>
      <c r="C154" s="73">
        <v>2</v>
      </c>
      <c r="D154" s="33"/>
      <c r="E154" s="78" t="s">
        <v>268</v>
      </c>
      <c r="F154" s="24"/>
      <c r="G154" s="24"/>
      <c r="H154" s="19"/>
      <c r="I154" s="19"/>
      <c r="J154" s="49"/>
      <c r="K154" s="49"/>
      <c r="L154" s="2"/>
      <c r="N154" s="78"/>
    </row>
    <row r="155" spans="1:14" s="6" customFormat="1" x14ac:dyDescent="0.25">
      <c r="A155" s="4" t="s">
        <v>269</v>
      </c>
      <c r="B155" s="3"/>
      <c r="C155" s="73"/>
      <c r="D155" s="33"/>
      <c r="E155" s="78" t="s">
        <v>270</v>
      </c>
      <c r="F155" s="24"/>
      <c r="G155" s="24"/>
      <c r="H155" s="19"/>
      <c r="I155" s="19"/>
      <c r="J155" s="49"/>
      <c r="K155" s="49"/>
      <c r="L155" s="2"/>
      <c r="N155" s="78"/>
    </row>
    <row r="156" spans="1:14" s="6" customFormat="1" ht="41.4" x14ac:dyDescent="0.25">
      <c r="A156" s="4" t="s">
        <v>271</v>
      </c>
      <c r="B156" s="3"/>
      <c r="C156" s="73"/>
      <c r="D156" s="33"/>
      <c r="E156" s="78" t="s">
        <v>272</v>
      </c>
      <c r="F156" s="24"/>
      <c r="G156" s="24"/>
      <c r="H156" s="19"/>
      <c r="I156" s="19"/>
      <c r="J156" s="49"/>
      <c r="K156" s="49"/>
      <c r="L156" s="2"/>
      <c r="N156" s="78"/>
    </row>
    <row r="157" spans="1:14" x14ac:dyDescent="0.25">
      <c r="A157" s="2"/>
      <c r="B157" s="15"/>
      <c r="C157" s="23"/>
      <c r="D157" s="25"/>
      <c r="E157" s="78"/>
      <c r="F157" s="24"/>
      <c r="G157" s="24" t="str">
        <f t="shared" si="0"/>
        <v/>
      </c>
      <c r="H157" s="19"/>
      <c r="I157" s="19"/>
      <c r="J157" s="28"/>
      <c r="K157" s="28"/>
      <c r="L157" s="2"/>
      <c r="N157" s="78"/>
    </row>
    <row r="158" spans="1:14" x14ac:dyDescent="0.25">
      <c r="A158" s="2"/>
      <c r="B158" s="15"/>
      <c r="C158" s="23"/>
      <c r="D158" s="25"/>
      <c r="E158" s="78"/>
      <c r="F158" s="24"/>
      <c r="G158" s="24"/>
      <c r="H158" s="19"/>
      <c r="I158" s="19"/>
      <c r="J158" s="28"/>
      <c r="K158" s="28"/>
      <c r="L158" s="2"/>
      <c r="N158" s="78"/>
    </row>
    <row r="159" spans="1:14" ht="41.4" x14ac:dyDescent="0.25">
      <c r="A159" s="10" t="s">
        <v>463</v>
      </c>
      <c r="B159" s="11" t="s">
        <v>10</v>
      </c>
      <c r="C159" s="11" t="s">
        <v>1</v>
      </c>
      <c r="D159" s="11" t="s">
        <v>11</v>
      </c>
      <c r="E159" s="10" t="s">
        <v>12</v>
      </c>
      <c r="F159" s="35" t="s">
        <v>13</v>
      </c>
      <c r="G159" s="35" t="s">
        <v>14</v>
      </c>
      <c r="H159" s="35" t="s">
        <v>15</v>
      </c>
      <c r="I159" s="18" t="s">
        <v>16</v>
      </c>
      <c r="J159" s="18" t="s">
        <v>17</v>
      </c>
      <c r="K159" s="18" t="s">
        <v>18</v>
      </c>
      <c r="L159" s="11" t="s">
        <v>19</v>
      </c>
      <c r="N159" s="78"/>
    </row>
    <row r="160" spans="1:14" s="86" customFormat="1" ht="83.4" customHeight="1" x14ac:dyDescent="0.25">
      <c r="A160" s="66" t="s">
        <v>177</v>
      </c>
      <c r="B160" s="87"/>
      <c r="C160" s="216" t="s">
        <v>464</v>
      </c>
      <c r="D160" s="217"/>
      <c r="E160" s="218"/>
      <c r="F160" s="95"/>
      <c r="G160" s="95"/>
      <c r="H160" s="95"/>
      <c r="I160" s="96"/>
      <c r="J160" s="96"/>
      <c r="K160" s="96"/>
      <c r="L160" s="87"/>
      <c r="M160" s="1"/>
      <c r="N160" s="78"/>
    </row>
    <row r="161" spans="1:15" ht="27.6" x14ac:dyDescent="0.25">
      <c r="A161" s="66" t="s">
        <v>22</v>
      </c>
      <c r="B161" s="11"/>
      <c r="C161" s="93">
        <v>3</v>
      </c>
      <c r="D161" s="87"/>
      <c r="E161" s="66" t="s">
        <v>284</v>
      </c>
      <c r="F161" s="35"/>
      <c r="G161" s="35"/>
      <c r="H161" s="35"/>
      <c r="I161" s="18"/>
      <c r="J161" s="18"/>
      <c r="K161" s="18"/>
      <c r="L161" s="11"/>
      <c r="N161" s="78"/>
    </row>
    <row r="162" spans="1:15" ht="41.4" x14ac:dyDescent="0.25">
      <c r="A162" s="66" t="s">
        <v>25</v>
      </c>
      <c r="B162" s="87"/>
      <c r="C162" s="87">
        <v>141</v>
      </c>
      <c r="D162" s="87"/>
      <c r="E162" s="66" t="s">
        <v>465</v>
      </c>
      <c r="F162" s="95"/>
      <c r="G162" s="95"/>
      <c r="H162" s="95"/>
      <c r="I162" s="96"/>
      <c r="J162" s="96"/>
      <c r="K162" s="96"/>
      <c r="L162" s="87"/>
      <c r="N162" s="78"/>
    </row>
    <row r="163" spans="1:15" x14ac:dyDescent="0.25">
      <c r="A163" s="46" t="s">
        <v>26</v>
      </c>
      <c r="B163" s="15"/>
      <c r="C163" s="23"/>
      <c r="D163" s="34"/>
      <c r="E163" s="78"/>
      <c r="F163" s="24"/>
      <c r="G163" s="24" t="str">
        <f t="shared" ref="G163" si="1">IF($F163="","",IF($F163="Gemessen","sehr gut",IF($F163="Berechnet","gut",IF($F163="Literaturwert","befriedigend",IF($F163="Geschätzt","schlecht",IF($F163="Keine Angabe","nicht erhoben",IF($F163="Datenbank (Gabi) | NUR UMSICHT","GaBi",IF($F163="Datenbank (ecoinvent) | NUR UMSICHT","ecoinvent"))))))))</f>
        <v/>
      </c>
      <c r="H163" s="19"/>
      <c r="I163" s="19"/>
      <c r="J163" s="28"/>
      <c r="K163" s="28"/>
      <c r="L163" s="2"/>
      <c r="N163" s="78"/>
    </row>
    <row r="164" spans="1:15" x14ac:dyDescent="0.25">
      <c r="A164" s="4" t="s">
        <v>457</v>
      </c>
      <c r="B164" s="4" t="s">
        <v>39</v>
      </c>
      <c r="C164" s="23"/>
      <c r="D164" s="34"/>
      <c r="E164" s="78"/>
      <c r="F164" s="24"/>
      <c r="G164" s="24"/>
      <c r="H164" s="19"/>
      <c r="I164" s="19"/>
      <c r="J164" s="28"/>
      <c r="K164" s="28"/>
      <c r="L164" s="2"/>
      <c r="N164" s="78"/>
    </row>
    <row r="165" spans="1:15" ht="29.4" x14ac:dyDescent="0.25">
      <c r="A165" s="4" t="s">
        <v>130</v>
      </c>
      <c r="B165" s="4" t="s">
        <v>131</v>
      </c>
      <c r="C165" s="23">
        <f>(10/26280000)*141</f>
        <v>5.365296803652968E-5</v>
      </c>
      <c r="D165" s="145"/>
      <c r="E165" s="78" t="s">
        <v>466</v>
      </c>
      <c r="F165" s="25"/>
      <c r="G165" s="24"/>
      <c r="H165" s="19"/>
      <c r="I165" s="25"/>
      <c r="J165" s="55"/>
      <c r="K165" s="55"/>
      <c r="L165" s="2"/>
      <c r="N165" s="78"/>
    </row>
    <row r="166" spans="1:15" x14ac:dyDescent="0.25">
      <c r="A166" s="4" t="s">
        <v>134</v>
      </c>
      <c r="B166" s="4" t="s">
        <v>125</v>
      </c>
      <c r="C166" s="23">
        <f>($C$13/1451)*C162</f>
        <v>1.9583333333333335E-2</v>
      </c>
      <c r="D166" s="146"/>
      <c r="E166" s="78" t="s">
        <v>135</v>
      </c>
      <c r="F166" s="25"/>
      <c r="G166" s="24"/>
      <c r="H166" s="19"/>
      <c r="I166" s="25"/>
      <c r="J166" s="55"/>
      <c r="K166" s="55"/>
      <c r="L166" s="2"/>
      <c r="M166" s="78"/>
      <c r="N166" s="161"/>
    </row>
    <row r="167" spans="1:15" x14ac:dyDescent="0.25">
      <c r="A167" s="4" t="s">
        <v>286</v>
      </c>
      <c r="B167" s="4" t="s">
        <v>33</v>
      </c>
      <c r="C167" s="78"/>
      <c r="D167" s="167">
        <v>3.3000000000000002E-2</v>
      </c>
      <c r="E167" s="78" t="s">
        <v>467</v>
      </c>
      <c r="F167" s="24"/>
      <c r="G167" s="24"/>
      <c r="H167" s="19"/>
      <c r="I167" s="19"/>
      <c r="J167" s="28"/>
      <c r="K167" s="28"/>
      <c r="L167" s="2"/>
      <c r="N167" s="78"/>
    </row>
    <row r="168" spans="1:15" ht="27.6" x14ac:dyDescent="0.25">
      <c r="A168" s="4" t="s">
        <v>288</v>
      </c>
      <c r="B168" s="4" t="s">
        <v>33</v>
      </c>
      <c r="C168" s="165">
        <f>Allokationen!E55</f>
        <v>7.3324508614314841</v>
      </c>
      <c r="D168" s="78"/>
      <c r="E168" s="78" t="s">
        <v>289</v>
      </c>
      <c r="F168" s="24"/>
      <c r="G168" s="24"/>
      <c r="H168" s="19"/>
      <c r="I168" s="19"/>
      <c r="J168" s="28"/>
      <c r="K168" s="28"/>
      <c r="L168" s="2"/>
      <c r="N168" s="78"/>
    </row>
    <row r="169" spans="1:15" ht="27.6" x14ac:dyDescent="0.25">
      <c r="A169" s="4" t="s">
        <v>290</v>
      </c>
      <c r="B169" s="4" t="s">
        <v>33</v>
      </c>
      <c r="C169" s="165">
        <f>Allokationen!F55</f>
        <v>20.281247063533893</v>
      </c>
      <c r="D169" s="78"/>
      <c r="E169" s="78" t="s">
        <v>289</v>
      </c>
      <c r="F169" s="24"/>
      <c r="G169" s="24"/>
      <c r="H169" s="19"/>
      <c r="I169" s="19"/>
      <c r="J169" s="28"/>
      <c r="K169" s="28"/>
      <c r="L169" s="2"/>
      <c r="N169" s="78"/>
    </row>
    <row r="170" spans="1:15" ht="165.6" x14ac:dyDescent="0.25">
      <c r="A170" s="4" t="s">
        <v>291</v>
      </c>
      <c r="B170" s="4" t="s">
        <v>188</v>
      </c>
      <c r="C170" s="73">
        <f>16.8*300</f>
        <v>5040</v>
      </c>
      <c r="D170" s="34"/>
      <c r="E170" s="78" t="s">
        <v>468</v>
      </c>
      <c r="F170" s="24"/>
      <c r="G170" s="24"/>
      <c r="H170" s="19"/>
      <c r="I170" s="19"/>
      <c r="J170" s="28"/>
      <c r="K170" s="28"/>
      <c r="L170" s="2"/>
      <c r="N170" s="78" t="s">
        <v>190</v>
      </c>
    </row>
    <row r="171" spans="1:15" ht="41.4" x14ac:dyDescent="0.25">
      <c r="A171" s="4" t="s">
        <v>293</v>
      </c>
      <c r="B171" s="4" t="s">
        <v>350</v>
      </c>
      <c r="C171" s="73">
        <f>((80*1+15*2+3*3+2*4)/100)*15.5</f>
        <v>19.684999999999999</v>
      </c>
      <c r="D171" s="34"/>
      <c r="E171" s="78" t="s">
        <v>294</v>
      </c>
      <c r="F171" s="24"/>
      <c r="G171" s="24"/>
      <c r="H171" s="19"/>
      <c r="I171" s="19"/>
      <c r="J171" s="28"/>
      <c r="K171" s="28"/>
      <c r="L171" s="2"/>
      <c r="M171" s="78"/>
      <c r="N171" s="78"/>
    </row>
    <row r="172" spans="1:15" ht="82.8" x14ac:dyDescent="0.25">
      <c r="A172" s="4" t="s">
        <v>86</v>
      </c>
      <c r="B172" s="4" t="s">
        <v>295</v>
      </c>
      <c r="C172" s="73">
        <v>300</v>
      </c>
      <c r="D172" s="34"/>
      <c r="E172" s="78" t="s">
        <v>469</v>
      </c>
      <c r="F172" s="24"/>
      <c r="G172" s="24"/>
      <c r="H172" s="19"/>
      <c r="I172" s="19"/>
      <c r="J172" s="28"/>
      <c r="K172" s="28"/>
      <c r="L172" s="2"/>
      <c r="N172" s="78"/>
    </row>
    <row r="173" spans="1:15" ht="82.8" x14ac:dyDescent="0.25">
      <c r="A173" s="4" t="s">
        <v>297</v>
      </c>
      <c r="B173" s="4" t="s">
        <v>295</v>
      </c>
      <c r="C173" s="73">
        <v>250</v>
      </c>
      <c r="D173" s="34"/>
      <c r="E173" s="78" t="s">
        <v>470</v>
      </c>
      <c r="F173" s="24"/>
      <c r="G173" s="24"/>
      <c r="H173" s="19"/>
      <c r="I173" s="19"/>
      <c r="J173" s="28"/>
      <c r="K173" s="28"/>
      <c r="L173" s="2"/>
      <c r="N173" s="78"/>
    </row>
    <row r="174" spans="1:15" ht="124.2" x14ac:dyDescent="0.25">
      <c r="A174" s="4" t="s">
        <v>299</v>
      </c>
      <c r="B174" s="4" t="s">
        <v>144</v>
      </c>
      <c r="C174" s="73">
        <f>124/10</f>
        <v>12.4</v>
      </c>
      <c r="D174" s="34"/>
      <c r="E174" s="78" t="s">
        <v>300</v>
      </c>
      <c r="F174" s="24"/>
      <c r="G174" s="24"/>
      <c r="H174" s="19"/>
      <c r="I174" s="19"/>
      <c r="J174" s="28"/>
      <c r="K174" s="28"/>
      <c r="L174" s="2"/>
      <c r="M174" s="78" t="s">
        <v>301</v>
      </c>
      <c r="N174" s="78" t="s">
        <v>301</v>
      </c>
    </row>
    <row r="175" spans="1:15" ht="69" x14ac:dyDescent="0.25">
      <c r="A175" s="2" t="s">
        <v>302</v>
      </c>
      <c r="B175" s="4" t="s">
        <v>144</v>
      </c>
      <c r="C175" s="34">
        <f>1/(8*21*2)*1000</f>
        <v>2.9761904761904758</v>
      </c>
      <c r="D175" s="34"/>
      <c r="E175" s="78" t="s">
        <v>471</v>
      </c>
      <c r="F175" s="24"/>
      <c r="G175" s="24"/>
      <c r="H175" s="19"/>
      <c r="I175" s="19"/>
      <c r="J175" s="28"/>
      <c r="K175" s="28"/>
      <c r="L175" s="2"/>
      <c r="N175" s="78"/>
      <c r="O175" s="1">
        <f>1/(8*21*2)</f>
        <v>2.976190476190476E-3</v>
      </c>
    </row>
    <row r="176" spans="1:15" x14ac:dyDescent="0.25">
      <c r="A176" s="2" t="s">
        <v>304</v>
      </c>
      <c r="B176" s="4" t="s">
        <v>144</v>
      </c>
      <c r="C176" s="34">
        <f>1/(8*21*2)*1000</f>
        <v>2.9761904761904758</v>
      </c>
      <c r="D176" s="34"/>
      <c r="E176" s="78"/>
      <c r="F176" s="24"/>
      <c r="G176" s="24"/>
      <c r="H176" s="19"/>
      <c r="I176" s="19"/>
      <c r="J176" s="28"/>
      <c r="K176" s="28"/>
      <c r="L176" s="2"/>
      <c r="N176" s="78" t="s">
        <v>305</v>
      </c>
    </row>
    <row r="177" spans="1:21" x14ac:dyDescent="0.25">
      <c r="A177" s="2"/>
      <c r="B177" s="4"/>
      <c r="C177" s="73"/>
      <c r="D177" s="34"/>
      <c r="E177" s="78"/>
      <c r="F177" s="24"/>
      <c r="G177" s="24"/>
      <c r="H177" s="19"/>
      <c r="I177" s="19"/>
      <c r="J177" s="28"/>
      <c r="K177" s="28"/>
      <c r="L177" s="2"/>
      <c r="N177" s="78"/>
    </row>
    <row r="178" spans="1:21" x14ac:dyDescent="0.25">
      <c r="A178" s="71" t="s">
        <v>35</v>
      </c>
      <c r="B178" s="4"/>
      <c r="C178" s="73"/>
      <c r="D178" s="25"/>
      <c r="E178" s="78"/>
      <c r="F178" s="24"/>
      <c r="G178" s="24"/>
      <c r="H178" s="19"/>
      <c r="I178" s="19"/>
      <c r="J178" s="28"/>
      <c r="K178" s="28"/>
      <c r="L178" s="2"/>
      <c r="N178" s="78"/>
    </row>
    <row r="179" spans="1:21" x14ac:dyDescent="0.25">
      <c r="A179" s="2" t="s">
        <v>472</v>
      </c>
      <c r="B179" s="4" t="s">
        <v>37</v>
      </c>
      <c r="C179" s="73">
        <v>1</v>
      </c>
      <c r="D179" s="25"/>
      <c r="E179" s="78"/>
      <c r="F179" s="24"/>
      <c r="G179" s="24" t="str">
        <f t="shared" ref="G179" si="2">IF($F179="","",IF($F179="Gemessen","sehr gut",IF($F179="Berechnet","gut",IF($F179="Literaturwert","befriedigend",IF($F179="Geschätzt","schlecht",IF($F179="Keine Angabe","nicht erhoben",IF($F179="Datenbank (Gabi) | NUR UMSICHT","GaBi",IF($F179="Datenbank (ecoinvent) | NUR UMSICHT","ecoinvent"))))))))</f>
        <v/>
      </c>
      <c r="H179" s="19"/>
      <c r="I179" s="19"/>
      <c r="J179" s="28"/>
      <c r="K179" s="28"/>
      <c r="L179" s="2"/>
      <c r="N179" s="78"/>
    </row>
    <row r="180" spans="1:21" ht="41.4" x14ac:dyDescent="0.25">
      <c r="A180" s="2" t="s">
        <v>306</v>
      </c>
      <c r="B180" s="4" t="s">
        <v>144</v>
      </c>
      <c r="C180" s="73">
        <f>C171</f>
        <v>19.684999999999999</v>
      </c>
      <c r="D180" s="25"/>
      <c r="E180" s="121"/>
      <c r="F180" s="24"/>
      <c r="G180" s="24"/>
      <c r="H180" s="19"/>
      <c r="I180" s="19"/>
      <c r="J180" s="28"/>
      <c r="K180" s="28"/>
      <c r="L180" s="2"/>
      <c r="N180" s="78" t="s">
        <v>253</v>
      </c>
    </row>
    <row r="181" spans="1:21" ht="69" x14ac:dyDescent="0.25">
      <c r="A181" s="2" t="s">
        <v>308</v>
      </c>
      <c r="B181" s="4" t="s">
        <v>144</v>
      </c>
      <c r="C181" s="73">
        <f>C126</f>
        <v>21.250879999999999</v>
      </c>
      <c r="D181" s="25"/>
      <c r="E181" s="78" t="s">
        <v>473</v>
      </c>
      <c r="F181" s="24"/>
      <c r="G181" s="24"/>
      <c r="H181" s="19"/>
      <c r="I181" s="19"/>
      <c r="J181" s="28"/>
      <c r="K181" s="28"/>
      <c r="L181" s="2"/>
      <c r="N181" s="78" t="s">
        <v>253</v>
      </c>
      <c r="O181" s="84"/>
      <c r="P181" s="84"/>
      <c r="Q181" s="54"/>
      <c r="R181" s="53"/>
      <c r="S181" s="53"/>
      <c r="T181" s="6"/>
      <c r="U181" s="6"/>
    </row>
    <row r="182" spans="1:21" ht="45" customHeight="1" x14ac:dyDescent="0.25">
      <c r="A182" s="2" t="s">
        <v>310</v>
      </c>
      <c r="B182" s="3" t="s">
        <v>144</v>
      </c>
      <c r="C182" s="73">
        <f>C125</f>
        <v>21.271442399999998</v>
      </c>
      <c r="D182" s="25"/>
      <c r="E182" s="78" t="s">
        <v>311</v>
      </c>
      <c r="F182" s="24"/>
      <c r="G182" s="24"/>
      <c r="H182" s="19"/>
      <c r="I182" s="19"/>
      <c r="J182" s="28"/>
      <c r="K182" s="28"/>
      <c r="L182" s="2"/>
      <c r="N182" s="78" t="s">
        <v>253</v>
      </c>
    </row>
    <row r="183" spans="1:21" ht="41.4" x14ac:dyDescent="0.25">
      <c r="A183" s="4" t="s">
        <v>474</v>
      </c>
      <c r="B183" s="4" t="s">
        <v>144</v>
      </c>
      <c r="C183" s="73">
        <f>C127-C148</f>
        <v>224.84390160000001</v>
      </c>
      <c r="D183" s="34"/>
      <c r="E183" s="78" t="s">
        <v>311</v>
      </c>
      <c r="F183" s="24"/>
      <c r="G183" s="24"/>
      <c r="H183" s="19"/>
      <c r="I183" s="19"/>
      <c r="J183" s="28"/>
      <c r="K183" s="28"/>
      <c r="L183" s="2"/>
      <c r="N183" s="78" t="s">
        <v>253</v>
      </c>
    </row>
    <row r="184" spans="1:21" ht="41.4" x14ac:dyDescent="0.25">
      <c r="A184" s="4" t="s">
        <v>312</v>
      </c>
      <c r="B184" s="4" t="s">
        <v>144</v>
      </c>
      <c r="C184" s="23">
        <f>C174</f>
        <v>12.4</v>
      </c>
      <c r="D184" s="34"/>
      <c r="E184" s="78" t="s">
        <v>311</v>
      </c>
      <c r="F184" s="24"/>
      <c r="G184" s="24"/>
      <c r="H184" s="19"/>
      <c r="I184" s="19"/>
      <c r="J184" s="28"/>
      <c r="K184" s="28"/>
      <c r="L184" s="2"/>
      <c r="N184" s="78" t="s">
        <v>253</v>
      </c>
    </row>
    <row r="185" spans="1:21" ht="28.2" thickBot="1" x14ac:dyDescent="0.3">
      <c r="A185" s="4" t="s">
        <v>255</v>
      </c>
      <c r="B185" s="4" t="s">
        <v>156</v>
      </c>
      <c r="C185" s="23">
        <f>0.1* (((C172/1.028)/1000)*850+((C173/0.982)/1000)*650)</f>
        <v>41.353308977945431</v>
      </c>
      <c r="D185" s="34"/>
      <c r="E185" s="78" t="s">
        <v>475</v>
      </c>
      <c r="F185" s="175"/>
      <c r="G185" s="24"/>
      <c r="H185" s="23"/>
      <c r="I185" s="23"/>
      <c r="J185" s="176"/>
      <c r="K185" s="176"/>
      <c r="L185" s="113"/>
      <c r="M185" s="78"/>
      <c r="N185" s="177"/>
    </row>
    <row r="186" spans="1:21" x14ac:dyDescent="0.25">
      <c r="A186" s="4"/>
      <c r="B186" s="4"/>
      <c r="C186" s="23"/>
      <c r="D186" s="34"/>
      <c r="E186" s="78"/>
      <c r="F186" s="24"/>
      <c r="G186" s="24"/>
      <c r="H186" s="19"/>
      <c r="I186" s="19"/>
      <c r="J186" s="28"/>
      <c r="K186" s="28"/>
      <c r="L186" s="2"/>
      <c r="N186" s="78"/>
    </row>
    <row r="187" spans="1:21" x14ac:dyDescent="0.25">
      <c r="A187" s="71" t="s">
        <v>259</v>
      </c>
      <c r="B187" s="3"/>
      <c r="C187" s="73"/>
      <c r="D187" s="25"/>
      <c r="E187" s="78"/>
      <c r="F187" s="24"/>
      <c r="G187" s="24"/>
      <c r="H187" s="19"/>
      <c r="I187" s="19"/>
      <c r="J187" s="28"/>
      <c r="K187" s="28"/>
      <c r="L187" s="2"/>
      <c r="N187" s="78"/>
    </row>
    <row r="188" spans="1:21" x14ac:dyDescent="0.25">
      <c r="A188" s="2" t="s">
        <v>314</v>
      </c>
      <c r="B188" s="3"/>
      <c r="C188" s="73"/>
      <c r="D188" s="25"/>
      <c r="E188" s="78"/>
      <c r="F188" s="24"/>
      <c r="G188" s="24"/>
      <c r="H188" s="19"/>
      <c r="I188" s="19"/>
      <c r="J188" s="28"/>
      <c r="K188" s="28"/>
      <c r="L188" s="2"/>
      <c r="N188" s="78"/>
    </row>
    <row r="189" spans="1:21" x14ac:dyDescent="0.25">
      <c r="A189" s="2" t="s">
        <v>315</v>
      </c>
      <c r="B189" s="3"/>
      <c r="C189" s="73"/>
      <c r="D189" s="25"/>
      <c r="E189" s="78"/>
      <c r="F189" s="24"/>
      <c r="G189" s="24"/>
      <c r="H189" s="19"/>
      <c r="I189" s="19"/>
      <c r="J189" s="28"/>
      <c r="K189" s="28"/>
      <c r="L189" s="2"/>
      <c r="N189" s="78"/>
    </row>
    <row r="190" spans="1:21" x14ac:dyDescent="0.25">
      <c r="A190" s="2" t="s">
        <v>316</v>
      </c>
      <c r="B190" s="3"/>
      <c r="C190" s="73"/>
      <c r="D190" s="25"/>
      <c r="E190" s="78"/>
      <c r="F190" s="24"/>
      <c r="G190" s="24"/>
      <c r="H190" s="19"/>
      <c r="I190" s="19"/>
      <c r="J190" s="28"/>
      <c r="K190" s="28"/>
      <c r="L190" s="2"/>
      <c r="N190" s="78"/>
    </row>
    <row r="191" spans="1:21" x14ac:dyDescent="0.25">
      <c r="A191" s="2" t="s">
        <v>317</v>
      </c>
      <c r="B191" s="3"/>
      <c r="C191" s="73"/>
      <c r="D191" s="25"/>
      <c r="E191" s="78"/>
      <c r="F191" s="24"/>
      <c r="G191" s="24"/>
      <c r="H191" s="19"/>
      <c r="I191" s="19"/>
      <c r="J191" s="28"/>
      <c r="K191" s="28"/>
      <c r="L191" s="2"/>
      <c r="N191" s="78"/>
    </row>
    <row r="192" spans="1:21" ht="41.4" x14ac:dyDescent="0.25">
      <c r="A192" s="70" t="s">
        <v>318</v>
      </c>
      <c r="B192" s="4"/>
      <c r="C192" s="73"/>
      <c r="D192" s="25"/>
      <c r="E192" s="78" t="s">
        <v>319</v>
      </c>
      <c r="F192" s="24"/>
      <c r="G192" s="24"/>
      <c r="H192" s="19"/>
      <c r="I192" s="19"/>
      <c r="J192" s="14"/>
      <c r="K192" s="14"/>
      <c r="L192" s="2"/>
      <c r="N192" s="78"/>
    </row>
    <row r="193" spans="1:14" s="6" customFormat="1" x14ac:dyDescent="0.25">
      <c r="A193" s="4" t="s">
        <v>320</v>
      </c>
      <c r="B193" s="3"/>
      <c r="C193" s="73"/>
      <c r="D193" s="33"/>
      <c r="E193" s="78"/>
      <c r="F193" s="24"/>
      <c r="G193" s="24"/>
      <c r="H193" s="19"/>
      <c r="I193" s="19"/>
      <c r="J193" s="49"/>
      <c r="K193" s="49"/>
      <c r="L193" s="2"/>
      <c r="N193" s="78"/>
    </row>
    <row r="194" spans="1:14" x14ac:dyDescent="0.25">
      <c r="A194" s="4"/>
      <c r="B194" s="4"/>
      <c r="C194" s="23"/>
      <c r="D194" s="34"/>
      <c r="E194" s="78"/>
      <c r="F194" s="24"/>
      <c r="G194" s="24"/>
      <c r="H194" s="19"/>
      <c r="I194" s="19"/>
      <c r="J194" s="28"/>
      <c r="K194" s="28"/>
      <c r="L194" s="2"/>
      <c r="N194" s="78"/>
    </row>
    <row r="195" spans="1:14" ht="41.4" x14ac:dyDescent="0.25">
      <c r="A195" s="10" t="s">
        <v>476</v>
      </c>
      <c r="B195" s="11" t="s">
        <v>10</v>
      </c>
      <c r="C195" s="11" t="s">
        <v>1</v>
      </c>
      <c r="D195" s="11" t="s">
        <v>11</v>
      </c>
      <c r="E195" s="10" t="s">
        <v>12</v>
      </c>
      <c r="F195" s="35" t="s">
        <v>13</v>
      </c>
      <c r="G195" s="35" t="s">
        <v>14</v>
      </c>
      <c r="H195" s="35" t="s">
        <v>15</v>
      </c>
      <c r="I195" s="18" t="s">
        <v>16</v>
      </c>
      <c r="J195" s="18" t="s">
        <v>17</v>
      </c>
      <c r="K195" s="18" t="s">
        <v>18</v>
      </c>
      <c r="L195" s="11" t="s">
        <v>19</v>
      </c>
      <c r="N195" s="78"/>
    </row>
    <row r="196" spans="1:14" s="86" customFormat="1" ht="44.25" customHeight="1" x14ac:dyDescent="0.25">
      <c r="A196" s="66" t="s">
        <v>177</v>
      </c>
      <c r="B196" s="216" t="s">
        <v>477</v>
      </c>
      <c r="C196" s="217"/>
      <c r="D196" s="217"/>
      <c r="E196" s="218"/>
      <c r="F196" s="95"/>
      <c r="G196" s="95"/>
      <c r="H196" s="95"/>
      <c r="I196" s="96"/>
      <c r="J196" s="96"/>
      <c r="K196" s="96"/>
      <c r="L196" s="87"/>
      <c r="M196" s="1"/>
      <c r="N196" s="78"/>
    </row>
    <row r="197" spans="1:14" s="86" customFormat="1" x14ac:dyDescent="0.25">
      <c r="A197" s="66" t="s">
        <v>22</v>
      </c>
      <c r="B197" s="87"/>
      <c r="C197" s="87">
        <v>1</v>
      </c>
      <c r="D197" s="87"/>
      <c r="E197" s="66"/>
      <c r="F197" s="95"/>
      <c r="G197" s="95"/>
      <c r="H197" s="95"/>
      <c r="I197" s="96"/>
      <c r="J197" s="96"/>
      <c r="K197" s="96"/>
      <c r="L197" s="87"/>
      <c r="M197" s="1"/>
      <c r="N197" s="78"/>
    </row>
    <row r="198" spans="1:14" s="86" customFormat="1" x14ac:dyDescent="0.25">
      <c r="A198" s="66" t="s">
        <v>25</v>
      </c>
      <c r="B198" s="87" t="s">
        <v>115</v>
      </c>
      <c r="C198" s="87">
        <v>10</v>
      </c>
      <c r="D198" s="87"/>
      <c r="E198" s="66" t="s">
        <v>324</v>
      </c>
      <c r="F198" s="95"/>
      <c r="G198" s="95"/>
      <c r="H198" s="95"/>
      <c r="I198" s="96"/>
      <c r="J198" s="96"/>
      <c r="K198" s="96"/>
      <c r="L198" s="87"/>
      <c r="M198" s="1"/>
      <c r="N198" s="78"/>
    </row>
    <row r="199" spans="1:14" x14ac:dyDescent="0.25">
      <c r="A199" s="46" t="s">
        <v>26</v>
      </c>
      <c r="B199" s="15"/>
      <c r="C199" s="23"/>
      <c r="D199" s="34"/>
      <c r="E199" s="78"/>
      <c r="F199" s="24"/>
      <c r="G199" s="24" t="str">
        <f t="shared" ref="G199" si="3">IF($F199="","",IF($F199="Gemessen","sehr gut",IF($F199="Berechnet","gut",IF($F199="Literaturwert","befriedigend",IF($F199="Geschätzt","schlecht",IF($F199="Keine Angabe","nicht erhoben",IF($F199="Datenbank (Gabi) | NUR UMSICHT","GaBi",IF($F199="Datenbank (ecoinvent) | NUR UMSICHT","ecoinvent"))))))))</f>
        <v/>
      </c>
      <c r="H199" s="19"/>
      <c r="I199" s="19"/>
      <c r="J199" s="28"/>
      <c r="K199" s="28"/>
      <c r="L199" s="2"/>
      <c r="N199" s="78"/>
    </row>
    <row r="200" spans="1:14" x14ac:dyDescent="0.25">
      <c r="A200" s="2" t="s">
        <v>472</v>
      </c>
      <c r="B200" s="4" t="s">
        <v>39</v>
      </c>
      <c r="C200" s="23">
        <v>1</v>
      </c>
      <c r="D200" s="34"/>
      <c r="E200" s="78"/>
      <c r="F200" s="24"/>
      <c r="G200" s="24"/>
      <c r="H200" s="19"/>
      <c r="I200" s="19"/>
      <c r="J200" s="28"/>
      <c r="K200" s="28"/>
      <c r="L200" s="2"/>
      <c r="N200" s="78"/>
    </row>
    <row r="201" spans="1:14" ht="29.4" x14ac:dyDescent="0.25">
      <c r="A201" s="4" t="s">
        <v>130</v>
      </c>
      <c r="B201" s="4" t="s">
        <v>131</v>
      </c>
      <c r="C201" s="23">
        <f>(20/26280000)*10</f>
        <v>7.6103500761035004E-6</v>
      </c>
      <c r="D201" s="145"/>
      <c r="E201" s="78" t="s">
        <v>325</v>
      </c>
      <c r="F201" s="25"/>
      <c r="G201" s="24"/>
      <c r="H201" s="19"/>
      <c r="I201" s="25"/>
      <c r="J201" s="55"/>
      <c r="K201" s="55"/>
      <c r="L201" s="2"/>
      <c r="N201" s="78"/>
    </row>
    <row r="202" spans="1:14" x14ac:dyDescent="0.25">
      <c r="A202" s="4" t="s">
        <v>134</v>
      </c>
      <c r="B202" s="4" t="s">
        <v>125</v>
      </c>
      <c r="C202" s="23">
        <f>($C$13/1451)*C198</f>
        <v>1.3888888888888889E-3</v>
      </c>
      <c r="D202" s="146"/>
      <c r="E202" s="78" t="s">
        <v>135</v>
      </c>
      <c r="F202" s="25"/>
      <c r="G202" s="24"/>
      <c r="H202" s="19"/>
      <c r="I202" s="25"/>
      <c r="J202" s="55"/>
      <c r="K202" s="55"/>
      <c r="L202" s="2"/>
      <c r="M202" s="78"/>
      <c r="N202" s="161"/>
    </row>
    <row r="203" spans="1:14" x14ac:dyDescent="0.25">
      <c r="A203" s="4" t="s">
        <v>392</v>
      </c>
      <c r="B203" s="4" t="s">
        <v>39</v>
      </c>
      <c r="C203" s="23">
        <v>2</v>
      </c>
      <c r="D203" s="34"/>
      <c r="E203" s="78"/>
      <c r="F203" s="24"/>
      <c r="G203" s="24"/>
      <c r="H203" s="19"/>
      <c r="I203" s="19"/>
      <c r="J203" s="28"/>
      <c r="K203" s="28"/>
      <c r="L203" s="2"/>
      <c r="N203" s="78"/>
    </row>
    <row r="204" spans="1:14" ht="27.6" x14ac:dyDescent="0.25">
      <c r="A204" s="2" t="s">
        <v>391</v>
      </c>
      <c r="B204" s="4" t="s">
        <v>33</v>
      </c>
      <c r="C204" s="165">
        <f>Allokationen!E56</f>
        <v>0.67462354563870475</v>
      </c>
      <c r="D204" s="168"/>
      <c r="E204" s="78" t="s">
        <v>137</v>
      </c>
      <c r="F204" s="24"/>
      <c r="G204" s="24"/>
      <c r="H204" s="19"/>
      <c r="I204" s="19"/>
      <c r="J204" s="14"/>
      <c r="K204" s="14"/>
      <c r="L204" s="2"/>
      <c r="N204" s="78"/>
    </row>
    <row r="205" spans="1:14" ht="27.6" x14ac:dyDescent="0.25">
      <c r="A205" s="70" t="s">
        <v>138</v>
      </c>
      <c r="B205" s="4" t="s">
        <v>33</v>
      </c>
      <c r="C205" s="165">
        <f>Allokationen!F56</f>
        <v>1.8659800198517364</v>
      </c>
      <c r="D205" s="168"/>
      <c r="E205" s="78" t="s">
        <v>137</v>
      </c>
      <c r="F205" s="24"/>
      <c r="G205" s="24"/>
      <c r="H205" s="19"/>
      <c r="I205" s="19"/>
      <c r="J205" s="14"/>
      <c r="K205" s="14"/>
      <c r="L205" s="2"/>
      <c r="N205" s="78"/>
    </row>
    <row r="206" spans="1:14" s="6" customFormat="1" ht="55.2" x14ac:dyDescent="0.25">
      <c r="A206" s="4" t="s">
        <v>140</v>
      </c>
      <c r="B206" s="3" t="s">
        <v>141</v>
      </c>
      <c r="C206" s="73">
        <f>10/2100</f>
        <v>4.7619047619047623E-3</v>
      </c>
      <c r="D206" s="33"/>
      <c r="E206" s="78" t="s">
        <v>327</v>
      </c>
      <c r="F206" s="24"/>
      <c r="G206" s="24"/>
      <c r="H206" s="19"/>
      <c r="I206" s="19"/>
      <c r="J206" s="49"/>
      <c r="K206" s="49"/>
      <c r="L206" s="2"/>
      <c r="N206" s="78"/>
    </row>
    <row r="207" spans="1:14" ht="69" x14ac:dyDescent="0.25">
      <c r="A207" s="2" t="s">
        <v>151</v>
      </c>
      <c r="B207" s="15" t="s">
        <v>144</v>
      </c>
      <c r="C207" s="23">
        <f>2*(770*0.00526316)</f>
        <v>8.1052663999999996</v>
      </c>
      <c r="D207" s="33"/>
      <c r="E207" s="78" t="s">
        <v>152</v>
      </c>
      <c r="F207" s="24"/>
      <c r="G207" s="24" t="str">
        <f t="shared" ref="G207" si="4">IF($F207="","",IF($F207="Gemessen","sehr gut",IF($F207="Berechnet","gut",IF($F207="Literaturwert","befriedigend",IF($F207="Geschätzt","schlecht",IF($F207="Keine Angabe","nicht erhoben",IF($F207="Datenbank (Gabi) | NUR UMSICHT","GaBi",IF($F207="Datenbank (ecoinvent) | NUR UMSICHT","ecoinvent"))))))))</f>
        <v/>
      </c>
      <c r="H207" s="19"/>
      <c r="I207" s="19"/>
      <c r="J207" s="28"/>
      <c r="K207" s="28"/>
      <c r="L207" s="2"/>
      <c r="N207" s="78" t="s">
        <v>153</v>
      </c>
    </row>
    <row r="208" spans="1:14" x14ac:dyDescent="0.25">
      <c r="A208" s="2"/>
      <c r="B208" s="98"/>
      <c r="C208" s="73"/>
      <c r="D208" s="25"/>
      <c r="E208" s="78"/>
      <c r="F208" s="24"/>
      <c r="G208" s="24"/>
      <c r="H208" s="19"/>
      <c r="I208" s="19"/>
      <c r="J208" s="28"/>
      <c r="K208" s="28"/>
      <c r="L208" s="2"/>
      <c r="N208" s="78"/>
    </row>
    <row r="209" spans="1:14" x14ac:dyDescent="0.25">
      <c r="A209" s="71" t="s">
        <v>35</v>
      </c>
      <c r="B209" s="4"/>
      <c r="C209" s="73"/>
      <c r="D209" s="25"/>
      <c r="E209" s="78"/>
      <c r="F209" s="24"/>
      <c r="G209" s="24"/>
      <c r="H209" s="19"/>
      <c r="I209" s="19"/>
      <c r="J209" s="28"/>
      <c r="K209" s="28"/>
      <c r="L209" s="2"/>
      <c r="N209" s="78"/>
    </row>
    <row r="210" spans="1:14" x14ac:dyDescent="0.25">
      <c r="A210" s="2" t="s">
        <v>108</v>
      </c>
      <c r="B210" s="4" t="s">
        <v>37</v>
      </c>
      <c r="C210" s="73">
        <v>1</v>
      </c>
      <c r="D210" s="25"/>
      <c r="E210" s="78"/>
      <c r="F210" s="24"/>
      <c r="G210" s="24"/>
      <c r="H210" s="19"/>
      <c r="I210" s="19"/>
      <c r="J210" s="28"/>
      <c r="K210" s="28"/>
      <c r="L210" s="2"/>
      <c r="N210" s="78"/>
    </row>
    <row r="211" spans="1:14" ht="29.4" customHeight="1" x14ac:dyDescent="0.25">
      <c r="A211" s="70" t="s">
        <v>162</v>
      </c>
      <c r="B211" s="4" t="s">
        <v>144</v>
      </c>
      <c r="C211" s="73">
        <f>(10/2100)*200</f>
        <v>0.95238095238095244</v>
      </c>
      <c r="D211" s="25"/>
      <c r="E211" s="78"/>
      <c r="F211" s="24"/>
      <c r="G211" s="24"/>
      <c r="H211" s="19"/>
      <c r="I211" s="19"/>
      <c r="J211" s="14"/>
      <c r="K211" s="14"/>
      <c r="L211" s="2"/>
      <c r="N211" s="78" t="s">
        <v>163</v>
      </c>
    </row>
    <row r="212" spans="1:14" ht="27.6" x14ac:dyDescent="0.25">
      <c r="A212" s="2" t="s">
        <v>160</v>
      </c>
      <c r="B212" s="3" t="s">
        <v>144</v>
      </c>
      <c r="C212" s="73">
        <f>C207</f>
        <v>8.1052663999999996</v>
      </c>
      <c r="D212" s="25"/>
      <c r="E212" s="78"/>
      <c r="F212" s="24"/>
      <c r="G212" s="24"/>
      <c r="H212" s="23"/>
      <c r="I212" s="23"/>
      <c r="J212" s="28"/>
      <c r="K212" s="28"/>
      <c r="L212" s="2"/>
      <c r="N212" s="78" t="s">
        <v>161</v>
      </c>
    </row>
    <row r="213" spans="1:14" x14ac:dyDescent="0.25">
      <c r="A213" s="70"/>
      <c r="B213" s="3"/>
      <c r="C213" s="73"/>
      <c r="D213" s="25"/>
      <c r="E213" s="78"/>
      <c r="F213" s="24"/>
      <c r="G213" s="24"/>
      <c r="H213" s="23"/>
      <c r="I213" s="23"/>
      <c r="J213" s="28"/>
      <c r="K213" s="28"/>
      <c r="L213" s="2"/>
      <c r="N213" s="78"/>
    </row>
    <row r="214" spans="1:14" s="6" customFormat="1" x14ac:dyDescent="0.25">
      <c r="A214" s="46" t="s">
        <v>164</v>
      </c>
      <c r="B214" s="3"/>
      <c r="C214" s="73"/>
      <c r="D214" s="33"/>
      <c r="E214" s="78"/>
      <c r="F214" s="24"/>
      <c r="G214" s="24"/>
      <c r="H214" s="19"/>
      <c r="I214" s="19"/>
      <c r="J214" s="49"/>
      <c r="K214" s="49"/>
      <c r="L214" s="2"/>
      <c r="N214" s="78"/>
    </row>
    <row r="215" spans="1:14" s="6" customFormat="1" x14ac:dyDescent="0.25">
      <c r="A215" s="4" t="s">
        <v>166</v>
      </c>
      <c r="B215" s="3"/>
      <c r="C215" s="73"/>
      <c r="D215" s="33"/>
      <c r="E215" s="78" t="s">
        <v>167</v>
      </c>
      <c r="F215" s="24"/>
      <c r="G215" s="24"/>
      <c r="H215" s="19"/>
      <c r="I215" s="19"/>
      <c r="J215" s="49"/>
      <c r="K215" s="49"/>
      <c r="L215" s="2"/>
      <c r="N215" s="78"/>
    </row>
    <row r="216" spans="1:14" s="6" customFormat="1" x14ac:dyDescent="0.25">
      <c r="A216" s="4" t="s">
        <v>168</v>
      </c>
      <c r="B216" s="3"/>
      <c r="C216" s="73"/>
      <c r="D216" s="33"/>
      <c r="E216" s="78" t="s">
        <v>169</v>
      </c>
      <c r="F216" s="24"/>
      <c r="G216" s="24"/>
      <c r="H216" s="19"/>
      <c r="I216" s="19"/>
      <c r="J216" s="49"/>
      <c r="K216" s="49"/>
      <c r="L216" s="2"/>
      <c r="N216" s="78"/>
    </row>
    <row r="217" spans="1:14" s="6" customFormat="1" x14ac:dyDescent="0.25">
      <c r="A217" s="4" t="s">
        <v>170</v>
      </c>
      <c r="B217" s="3"/>
      <c r="C217" s="73"/>
      <c r="D217" s="33"/>
      <c r="E217" s="78"/>
      <c r="F217" s="24"/>
      <c r="G217" s="24"/>
      <c r="H217" s="19"/>
      <c r="I217" s="19"/>
      <c r="J217" s="49"/>
      <c r="K217" s="49"/>
      <c r="L217" s="2"/>
      <c r="N217" s="78"/>
    </row>
    <row r="218" spans="1:14" s="6" customFormat="1" x14ac:dyDescent="0.25">
      <c r="A218" s="4"/>
      <c r="B218" s="3"/>
      <c r="C218" s="99"/>
      <c r="D218" s="33"/>
      <c r="E218" s="137"/>
      <c r="F218" s="122"/>
      <c r="G218" s="122"/>
      <c r="H218" s="123"/>
      <c r="I218" s="123"/>
      <c r="J218" s="124"/>
      <c r="K218" s="124"/>
      <c r="L218" s="125"/>
      <c r="N218" s="137"/>
    </row>
    <row r="219" spans="1:14" s="6" customFormat="1" x14ac:dyDescent="0.25">
      <c r="A219" s="7"/>
      <c r="B219" s="7"/>
      <c r="C219" s="102"/>
      <c r="D219" s="67"/>
      <c r="E219" s="138"/>
      <c r="F219" s="127"/>
      <c r="G219" s="127"/>
      <c r="H219" s="128"/>
      <c r="I219" s="128"/>
      <c r="J219" s="129"/>
      <c r="K219" s="129"/>
      <c r="L219" s="130"/>
      <c r="M219" s="129"/>
      <c r="N219" s="138"/>
    </row>
    <row r="220" spans="1:14" s="6" customFormat="1" x14ac:dyDescent="0.25">
      <c r="A220" s="7"/>
      <c r="B220" s="7"/>
      <c r="C220" s="102"/>
      <c r="D220" s="67"/>
      <c r="E220" s="84"/>
      <c r="F220" s="54"/>
      <c r="G220" s="54"/>
      <c r="H220" s="53"/>
      <c r="I220" s="53"/>
      <c r="L220" s="1"/>
      <c r="N220" s="84"/>
    </row>
    <row r="221" spans="1:14" x14ac:dyDescent="0.25">
      <c r="B221" s="7"/>
      <c r="C221" s="53"/>
      <c r="D221" s="52"/>
      <c r="E221" s="139"/>
      <c r="F221" s="131"/>
      <c r="G221" s="131" t="str">
        <f t="shared" ref="G221" si="5">IF($F221="","",IF($F221="Gemessen","sehr gut",IF($F221="Berechnet","gut",IF($F221="Literaturwert","befriedigend",IF($F221="Geschätzt","schlecht",IF($F221="Keine Angabe","nicht erhoben",IF($F221="Datenbank (Gabi) | NUR UMSICHT","GaBi",IF($F221="Datenbank (ecoinvent) | NUR UMSICHT","ecoinvent"))))))))</f>
        <v/>
      </c>
      <c r="H221" s="132"/>
      <c r="I221" s="132"/>
      <c r="J221" s="133"/>
      <c r="K221" s="133"/>
      <c r="L221" s="134"/>
      <c r="M221" s="134"/>
      <c r="N221" s="139"/>
    </row>
    <row r="222" spans="1:14" ht="16.8" x14ac:dyDescent="0.25">
      <c r="A222" s="9" t="s">
        <v>1008</v>
      </c>
      <c r="B222" s="8"/>
      <c r="C222" s="8"/>
      <c r="D222" s="8"/>
      <c r="E222" s="77"/>
      <c r="F222" s="126"/>
      <c r="G222" s="224" t="s">
        <v>8</v>
      </c>
      <c r="H222" s="224"/>
      <c r="I222" s="8"/>
      <c r="J222" s="8"/>
      <c r="K222" s="8"/>
      <c r="L222" s="8"/>
      <c r="N222" s="107"/>
    </row>
    <row r="223" spans="1:14" ht="41.4" x14ac:dyDescent="0.25">
      <c r="A223" s="11" t="s">
        <v>9</v>
      </c>
      <c r="B223" s="11" t="s">
        <v>10</v>
      </c>
      <c r="C223" s="11" t="s">
        <v>1</v>
      </c>
      <c r="D223" s="11" t="s">
        <v>11</v>
      </c>
      <c r="E223" s="10" t="s">
        <v>12</v>
      </c>
      <c r="F223" s="35" t="s">
        <v>13</v>
      </c>
      <c r="G223" s="35" t="s">
        <v>14</v>
      </c>
      <c r="H223" s="35" t="s">
        <v>15</v>
      </c>
      <c r="I223" s="18" t="s">
        <v>16</v>
      </c>
      <c r="J223" s="18" t="s">
        <v>17</v>
      </c>
      <c r="K223" s="18" t="s">
        <v>18</v>
      </c>
      <c r="L223" s="11" t="s">
        <v>19</v>
      </c>
      <c r="N223" s="78"/>
    </row>
    <row r="224" spans="1:14" x14ac:dyDescent="0.25">
      <c r="A224" s="3" t="s">
        <v>20</v>
      </c>
      <c r="B224" s="15"/>
      <c r="C224" s="23" t="s">
        <v>370</v>
      </c>
      <c r="D224" s="25"/>
      <c r="E224" s="78"/>
      <c r="F224" s="24"/>
      <c r="G224" s="24" t="str">
        <f>IF($F224="","",IF($F224="Gemessen","sehr gut",IF($F224="Berechnet","gut",IF($F224="Literaturwert","befriedigend",IF($F224="Geschätzt","schlecht",IF($F224="Keine Angabe","nicht erhoben",IF($F224="Datenbank (Gabi) | NUR UMSICHT","GaBi",IF($F224="Datenbank (ecoinvent) | NUR UMSICHT","ecoinvent"))))))))</f>
        <v/>
      </c>
      <c r="H224" s="24"/>
      <c r="I224" s="24"/>
      <c r="J224" s="2"/>
      <c r="K224" s="2"/>
      <c r="L224" s="2"/>
      <c r="M224" s="12"/>
      <c r="N224" s="78"/>
    </row>
    <row r="225" spans="1:14" ht="55.2" x14ac:dyDescent="0.25">
      <c r="A225" s="3" t="s">
        <v>21</v>
      </c>
      <c r="B225" s="15"/>
      <c r="C225" s="23" t="s">
        <v>478</v>
      </c>
      <c r="D225" s="25"/>
      <c r="E225" s="78" t="s">
        <v>479</v>
      </c>
      <c r="F225" s="24"/>
      <c r="G225" s="24"/>
      <c r="H225" s="24"/>
      <c r="I225" s="24"/>
      <c r="J225" s="2"/>
      <c r="K225" s="2"/>
      <c r="L225" s="2"/>
      <c r="M225" s="12"/>
      <c r="N225" s="78"/>
    </row>
    <row r="226" spans="1:14" ht="41.4" x14ac:dyDescent="0.25">
      <c r="A226" s="3" t="s">
        <v>22</v>
      </c>
      <c r="B226" s="15"/>
      <c r="C226" s="23">
        <v>3</v>
      </c>
      <c r="D226" s="25"/>
      <c r="E226" s="78" t="s">
        <v>372</v>
      </c>
      <c r="F226" s="24"/>
      <c r="G226" s="24" t="str">
        <f>IF($F226="","",IF($F226="Gemessen","sehr gut",IF($F226="Berechnet","gut",IF($F226="Literaturwert","befriedigend",IF($F226="Geschätzt","schlecht",IF($F226="Keine Angabe","nicht erhoben",IF($F226="Datenbank (Gabi) | NUR UMSICHT","GaBi",IF($F226="Datenbank (ecoinvent) | NUR UMSICHT","ecoinvent"))))))))</f>
        <v/>
      </c>
      <c r="H226" s="24"/>
      <c r="I226" s="24"/>
      <c r="J226" s="2"/>
      <c r="K226" s="2"/>
      <c r="L226" s="2"/>
      <c r="N226" s="78"/>
    </row>
    <row r="227" spans="1:14" x14ac:dyDescent="0.25">
      <c r="A227" s="3" t="s">
        <v>23</v>
      </c>
      <c r="B227" s="15"/>
      <c r="C227" s="23"/>
      <c r="D227" s="25"/>
      <c r="E227" s="78"/>
      <c r="F227" s="24"/>
      <c r="G227" s="24"/>
      <c r="H227" s="24"/>
      <c r="I227" s="24"/>
      <c r="J227" s="2"/>
      <c r="K227" s="2"/>
      <c r="L227" s="2"/>
      <c r="N227" s="78"/>
    </row>
    <row r="228" spans="1:14" ht="55.2" x14ac:dyDescent="0.25">
      <c r="A228" s="3" t="s">
        <v>119</v>
      </c>
      <c r="B228" s="15"/>
      <c r="C228" s="23" t="s">
        <v>120</v>
      </c>
      <c r="D228" s="25"/>
      <c r="E228" s="78" t="s">
        <v>373</v>
      </c>
      <c r="F228" s="24"/>
      <c r="G228" s="24"/>
      <c r="H228" s="24"/>
      <c r="I228" s="24"/>
      <c r="J228" s="2"/>
      <c r="K228" s="2"/>
      <c r="L228" s="2"/>
      <c r="N228" s="78"/>
    </row>
    <row r="229" spans="1:14" x14ac:dyDescent="0.25">
      <c r="A229" s="3" t="s">
        <v>122</v>
      </c>
      <c r="B229" s="15"/>
      <c r="C229" s="23" t="s">
        <v>480</v>
      </c>
      <c r="D229" s="25"/>
      <c r="E229" s="78"/>
      <c r="F229" s="24"/>
      <c r="G229" s="24"/>
      <c r="H229" s="24"/>
      <c r="I229" s="24"/>
      <c r="J229" s="2"/>
      <c r="K229" s="2"/>
      <c r="L229" s="2"/>
      <c r="N229" s="78"/>
    </row>
    <row r="230" spans="1:14" x14ac:dyDescent="0.25">
      <c r="A230" s="3"/>
      <c r="B230" s="15"/>
      <c r="C230" s="23"/>
      <c r="D230" s="25"/>
      <c r="E230" s="78"/>
      <c r="F230" s="24"/>
      <c r="G230" s="24"/>
      <c r="H230" s="24"/>
      <c r="I230" s="24"/>
      <c r="J230" s="2"/>
      <c r="K230" s="2"/>
      <c r="L230" s="2"/>
      <c r="N230" s="78"/>
    </row>
    <row r="231" spans="1:14" x14ac:dyDescent="0.25">
      <c r="A231" s="3"/>
      <c r="B231" s="15"/>
      <c r="C231" s="23"/>
      <c r="D231" s="25"/>
      <c r="E231" s="78"/>
      <c r="F231" s="24"/>
      <c r="G231" s="24"/>
      <c r="H231" s="24"/>
      <c r="I231" s="24"/>
      <c r="J231" s="2"/>
      <c r="K231" s="2"/>
      <c r="L231" s="2"/>
      <c r="N231" s="78"/>
    </row>
    <row r="232" spans="1:14" ht="80.099999999999994" customHeight="1" x14ac:dyDescent="0.25">
      <c r="A232" s="3" t="s">
        <v>124</v>
      </c>
      <c r="B232" s="15" t="s">
        <v>125</v>
      </c>
      <c r="C232" s="73">
        <f>(1314/9460800)*1126.5</f>
        <v>0.15645833333333334</v>
      </c>
      <c r="D232" s="225" t="s">
        <v>126</v>
      </c>
      <c r="E232" s="225"/>
      <c r="F232" s="225"/>
      <c r="G232" s="225"/>
      <c r="H232" s="225"/>
      <c r="I232" s="225"/>
      <c r="J232" s="225"/>
      <c r="K232" s="225"/>
      <c r="L232" s="225"/>
      <c r="M232" s="225"/>
      <c r="N232" s="225"/>
    </row>
    <row r="233" spans="1:14" x14ac:dyDescent="0.25">
      <c r="A233" s="3"/>
      <c r="B233" s="15"/>
      <c r="C233" s="23"/>
      <c r="D233" s="25"/>
      <c r="E233" s="78"/>
      <c r="F233" s="24"/>
      <c r="G233" s="24"/>
      <c r="H233" s="24"/>
      <c r="I233" s="24"/>
      <c r="J233" s="2"/>
      <c r="K233" s="2"/>
      <c r="L233" s="2"/>
      <c r="N233" s="78"/>
    </row>
    <row r="234" spans="1:14" x14ac:dyDescent="0.25">
      <c r="A234" s="3"/>
      <c r="B234" s="15"/>
      <c r="C234" s="23"/>
      <c r="D234" s="25"/>
      <c r="E234" s="78"/>
      <c r="F234" s="24"/>
      <c r="G234" s="24"/>
      <c r="H234" s="24"/>
      <c r="I234" s="24"/>
      <c r="J234" s="2"/>
      <c r="K234" s="2"/>
      <c r="L234" s="2"/>
      <c r="N234" s="78"/>
    </row>
    <row r="235" spans="1:14" x14ac:dyDescent="0.25">
      <c r="A235" s="3"/>
      <c r="B235" s="15"/>
      <c r="C235" s="23"/>
      <c r="D235" s="25"/>
      <c r="E235" s="78"/>
      <c r="F235" s="24"/>
      <c r="G235" s="24"/>
      <c r="H235" s="24"/>
      <c r="I235" s="24"/>
      <c r="J235" s="2"/>
      <c r="K235" s="2"/>
      <c r="L235" s="2"/>
      <c r="N235" s="78"/>
    </row>
    <row r="236" spans="1:14" x14ac:dyDescent="0.25">
      <c r="A236" s="3"/>
      <c r="B236" s="15"/>
      <c r="C236" s="23"/>
      <c r="D236" s="25"/>
      <c r="E236" s="78"/>
      <c r="F236" s="24"/>
      <c r="G236" s="24"/>
      <c r="H236" s="24"/>
      <c r="I236" s="24"/>
      <c r="J236" s="2"/>
      <c r="K236" s="2"/>
      <c r="L236" s="2"/>
      <c r="N236" s="78"/>
    </row>
    <row r="237" spans="1:14" x14ac:dyDescent="0.25">
      <c r="A237" s="3"/>
      <c r="B237" s="15"/>
      <c r="C237" s="23"/>
      <c r="D237" s="25"/>
      <c r="E237" s="78"/>
      <c r="F237" s="24"/>
      <c r="G237" s="24"/>
      <c r="H237" s="24"/>
      <c r="I237" s="24"/>
      <c r="J237" s="2"/>
      <c r="K237" s="2"/>
      <c r="L237" s="2"/>
      <c r="N237" s="78"/>
    </row>
    <row r="238" spans="1:14" x14ac:dyDescent="0.25">
      <c r="A238" s="3"/>
      <c r="B238" s="15"/>
      <c r="C238" s="23"/>
      <c r="D238" s="25"/>
      <c r="E238" s="78"/>
      <c r="F238" s="24"/>
      <c r="G238" s="24"/>
      <c r="H238" s="24"/>
      <c r="I238" s="24"/>
      <c r="J238" s="2"/>
      <c r="K238" s="2"/>
      <c r="L238" s="2"/>
      <c r="N238" s="78"/>
    </row>
    <row r="239" spans="1:14" s="6" customFormat="1" x14ac:dyDescent="0.25">
      <c r="A239" s="3"/>
      <c r="B239" s="15"/>
      <c r="C239" s="23"/>
      <c r="D239" s="23"/>
      <c r="E239" s="79"/>
      <c r="F239" s="23"/>
      <c r="G239" s="23" t="str">
        <f>IF($F239="","",IF($F239="Gemessen","sehr gut",IF($F239="Berechnet","gut",IF($F239="Literaturwert","befriedigend",IF($F239="Geschätzt","schlecht",IF($F239="Keine Angabe","nicht erhoben",IF($F239="Datenbank (Gabi) | NUR UMSICHT","GaBi",IF($F239="Datenbank (ecoinvent) | NUR UMSICHT","ecoinvent"))))))))</f>
        <v/>
      </c>
      <c r="H239" s="23"/>
      <c r="I239" s="23"/>
      <c r="J239" s="2"/>
      <c r="K239" s="2"/>
      <c r="L239" s="2"/>
      <c r="N239" s="78"/>
    </row>
    <row r="240" spans="1:14" ht="41.4" x14ac:dyDescent="0.25">
      <c r="A240" s="10" t="s">
        <v>1010</v>
      </c>
      <c r="B240" s="11" t="s">
        <v>10</v>
      </c>
      <c r="C240" s="11" t="s">
        <v>1</v>
      </c>
      <c r="D240" s="11" t="s">
        <v>11</v>
      </c>
      <c r="E240" s="10" t="s">
        <v>12</v>
      </c>
      <c r="F240" s="35" t="s">
        <v>13</v>
      </c>
      <c r="G240" s="35" t="s">
        <v>14</v>
      </c>
      <c r="H240" s="35" t="s">
        <v>15</v>
      </c>
      <c r="I240" s="18" t="s">
        <v>16</v>
      </c>
      <c r="J240" s="18" t="s">
        <v>17</v>
      </c>
      <c r="K240" s="18" t="s">
        <v>18</v>
      </c>
      <c r="L240" s="11" t="s">
        <v>19</v>
      </c>
      <c r="N240" s="78"/>
    </row>
    <row r="241" spans="1:14" s="86" customFormat="1" ht="29.25" customHeight="1" x14ac:dyDescent="0.25">
      <c r="A241" s="66" t="s">
        <v>177</v>
      </c>
      <c r="B241" s="216" t="s">
        <v>481</v>
      </c>
      <c r="C241" s="217"/>
      <c r="D241" s="217"/>
      <c r="E241" s="218"/>
      <c r="F241" s="95"/>
      <c r="G241" s="95"/>
      <c r="H241" s="95"/>
      <c r="I241" s="96"/>
      <c r="J241" s="96"/>
      <c r="K241" s="96"/>
      <c r="L241" s="87"/>
      <c r="M241" s="1"/>
      <c r="N241" s="78"/>
    </row>
    <row r="242" spans="1:14" x14ac:dyDescent="0.25">
      <c r="A242" s="66" t="s">
        <v>22</v>
      </c>
      <c r="B242" s="11"/>
      <c r="C242" s="11"/>
      <c r="D242" s="11"/>
      <c r="E242" s="10"/>
      <c r="F242" s="35"/>
      <c r="G242" s="35"/>
      <c r="H242" s="35"/>
      <c r="I242" s="18"/>
      <c r="J242" s="18"/>
      <c r="K242" s="18"/>
      <c r="L242" s="11"/>
      <c r="N242" s="78"/>
    </row>
    <row r="243" spans="1:14" x14ac:dyDescent="0.25">
      <c r="A243" s="66" t="s">
        <v>25</v>
      </c>
      <c r="B243" s="11"/>
      <c r="C243" s="11"/>
      <c r="D243" s="11"/>
      <c r="E243" s="10"/>
      <c r="F243" s="35"/>
      <c r="G243" s="35"/>
      <c r="H243" s="35"/>
      <c r="I243" s="18"/>
      <c r="J243" s="18"/>
      <c r="K243" s="18"/>
      <c r="L243" s="11"/>
      <c r="N243" s="78"/>
    </row>
    <row r="244" spans="1:14" x14ac:dyDescent="0.25">
      <c r="A244" s="16"/>
      <c r="B244" s="15"/>
      <c r="C244" s="23"/>
      <c r="D244" s="25"/>
      <c r="E244" s="78"/>
      <c r="F244" s="24"/>
      <c r="G244" s="24" t="str">
        <f t="shared" ref="G244" si="6">IF($F244="","",IF($F244="Gemessen","sehr gut",IF($F244="Berechnet","gut",IF($F244="Literaturwert","befriedigend",IF($F244="Geschätzt","schlecht",IF($F244="Keine Angabe","nicht erhoben",IF($F244="Datenbank (Gabi) | NUR UMSICHT","GaBi",IF($F244="Datenbank (ecoinvent) | NUR UMSICHT","ecoinvent"))))))))</f>
        <v/>
      </c>
      <c r="H244" s="19"/>
      <c r="I244" s="19"/>
      <c r="J244" s="28"/>
      <c r="K244" s="28"/>
      <c r="L244" s="2"/>
      <c r="N244" s="78"/>
    </row>
    <row r="245" spans="1:14" s="6" customFormat="1" x14ac:dyDescent="0.25">
      <c r="A245" s="4"/>
      <c r="B245" s="15"/>
      <c r="C245" s="99"/>
      <c r="D245" s="33"/>
      <c r="E245" s="78"/>
      <c r="F245" s="24"/>
      <c r="G245" s="24"/>
      <c r="H245" s="19"/>
      <c r="I245" s="19"/>
      <c r="J245" s="14"/>
      <c r="K245" s="14"/>
      <c r="L245" s="2"/>
      <c r="N245" s="78"/>
    </row>
    <row r="246" spans="1:14" ht="41.4" x14ac:dyDescent="0.25">
      <c r="A246" s="10" t="s">
        <v>482</v>
      </c>
      <c r="B246" s="11" t="s">
        <v>10</v>
      </c>
      <c r="C246" s="11" t="s">
        <v>1</v>
      </c>
      <c r="D246" s="11" t="s">
        <v>11</v>
      </c>
      <c r="E246" s="10" t="s">
        <v>12</v>
      </c>
      <c r="F246" s="35" t="s">
        <v>13</v>
      </c>
      <c r="G246" s="35" t="s">
        <v>14</v>
      </c>
      <c r="H246" s="35" t="s">
        <v>15</v>
      </c>
      <c r="I246" s="18" t="s">
        <v>16</v>
      </c>
      <c r="J246" s="18" t="s">
        <v>17</v>
      </c>
      <c r="K246" s="18" t="s">
        <v>18</v>
      </c>
      <c r="L246" s="11" t="s">
        <v>19</v>
      </c>
      <c r="N246" s="78"/>
    </row>
    <row r="247" spans="1:14" s="86" customFormat="1" ht="29.25" customHeight="1" x14ac:dyDescent="0.25">
      <c r="A247" s="66" t="s">
        <v>177</v>
      </c>
      <c r="B247" s="216" t="s">
        <v>483</v>
      </c>
      <c r="C247" s="217"/>
      <c r="D247" s="217"/>
      <c r="E247" s="218"/>
      <c r="F247" s="95"/>
      <c r="G247" s="95"/>
      <c r="H247" s="95"/>
      <c r="I247" s="96"/>
      <c r="J247" s="96"/>
      <c r="K247" s="96"/>
      <c r="L247" s="87"/>
      <c r="M247" s="1"/>
      <c r="N247" s="78"/>
    </row>
    <row r="248" spans="1:14" s="86" customFormat="1" x14ac:dyDescent="0.25">
      <c r="A248" s="66" t="s">
        <v>22</v>
      </c>
      <c r="B248" s="87"/>
      <c r="C248" s="87">
        <v>1</v>
      </c>
      <c r="D248" s="87"/>
      <c r="E248" s="66"/>
      <c r="F248" s="95"/>
      <c r="G248" s="95"/>
      <c r="H248" s="95"/>
      <c r="I248" s="96"/>
      <c r="J248" s="96"/>
      <c r="K248" s="96"/>
      <c r="L248" s="87"/>
      <c r="M248" s="1"/>
      <c r="N248" s="78"/>
    </row>
    <row r="249" spans="1:14" s="86" customFormat="1" x14ac:dyDescent="0.25">
      <c r="A249" s="66" t="s">
        <v>25</v>
      </c>
      <c r="B249" s="87" t="s">
        <v>115</v>
      </c>
      <c r="C249" s="87">
        <v>10</v>
      </c>
      <c r="D249" s="87"/>
      <c r="E249" s="66"/>
      <c r="F249" s="95"/>
      <c r="G249" s="95"/>
      <c r="H249" s="95"/>
      <c r="I249" s="96"/>
      <c r="J249" s="96"/>
      <c r="K249" s="96"/>
      <c r="L249" s="87"/>
      <c r="M249" s="1"/>
      <c r="N249" s="78"/>
    </row>
    <row r="250" spans="1:14" x14ac:dyDescent="0.25">
      <c r="A250" s="47" t="s">
        <v>26</v>
      </c>
      <c r="C250" s="23"/>
      <c r="D250" s="25"/>
      <c r="E250" s="78"/>
      <c r="F250" s="24"/>
      <c r="G250" s="24" t="str">
        <f>IF($F250="","",IF($F250="Gemessen","sehr gut",IF($F250="Berechnet","gut",IF($F250="Literaturwert","befriedigend",IF($F250="Geschätzt","schlecht",IF($F250="Keine Angabe","nicht erhoben",IF($F250="Datenbank (Gabi) | NUR UMSICHT","GaBi",IF($F250="Datenbank (ecoinvent) | NUR UMSICHT","ecoinvent"))))))))</f>
        <v/>
      </c>
      <c r="H250" s="19"/>
      <c r="I250" s="19"/>
      <c r="J250" s="29"/>
      <c r="K250" s="29"/>
      <c r="L250" s="2"/>
      <c r="N250" s="78"/>
    </row>
    <row r="251" spans="1:14" x14ac:dyDescent="0.25">
      <c r="A251" s="4" t="s">
        <v>36</v>
      </c>
      <c r="B251" s="4" t="s">
        <v>39</v>
      </c>
      <c r="C251" s="23">
        <v>1</v>
      </c>
      <c r="D251" s="25"/>
      <c r="E251" s="78"/>
      <c r="F251" s="25"/>
      <c r="G251" s="24" t="str">
        <f t="shared" ref="G251:G260" si="7">IF($F251="","",IF($F251="Gemessen","sehr gut",IF($F251="Berechnet","gut",IF($F251="Literaturwert","befriedigend",IF($F251="Geschätzt","schlecht",IF($F251="Keine Angabe","nicht erhoben",IF($F251="Datenbank (Gabi) | NUR UMSICHT","GaBi",IF($F251="Datenbank (ecoinvent) | NUR UMSICHT","ecoinvent"))))))))</f>
        <v/>
      </c>
      <c r="H251" s="19"/>
      <c r="I251" s="25"/>
      <c r="J251" s="55"/>
      <c r="K251" s="55"/>
      <c r="L251" s="2"/>
      <c r="N251" s="78"/>
    </row>
    <row r="252" spans="1:14" ht="29.4" x14ac:dyDescent="0.25">
      <c r="A252" s="4" t="s">
        <v>130</v>
      </c>
      <c r="B252" s="4" t="s">
        <v>131</v>
      </c>
      <c r="C252" s="23">
        <f>(20/26280000)*10</f>
        <v>7.6103500761035004E-6</v>
      </c>
      <c r="D252" s="143"/>
      <c r="E252" s="78" t="s">
        <v>325</v>
      </c>
      <c r="F252" s="25"/>
      <c r="G252" s="24"/>
      <c r="H252" s="19"/>
      <c r="I252" s="25"/>
      <c r="J252" s="55"/>
      <c r="K252" s="55"/>
      <c r="L252" s="2"/>
      <c r="N252" s="78"/>
    </row>
    <row r="253" spans="1:14" x14ac:dyDescent="0.25">
      <c r="A253" s="4" t="s">
        <v>134</v>
      </c>
      <c r="B253" s="4" t="s">
        <v>125</v>
      </c>
      <c r="C253" s="23">
        <f>($C$232/1126.5 )*C249</f>
        <v>1.3888888888888889E-3</v>
      </c>
      <c r="D253" s="146"/>
      <c r="E253" s="78" t="s">
        <v>135</v>
      </c>
      <c r="F253" s="25"/>
      <c r="G253" s="24"/>
      <c r="H253" s="19"/>
      <c r="I253" s="25"/>
      <c r="J253" s="55"/>
      <c r="K253" s="55"/>
      <c r="L253" s="2"/>
      <c r="M253" s="78"/>
      <c r="N253" s="161"/>
    </row>
    <row r="254" spans="1:14" ht="27.6" x14ac:dyDescent="0.25">
      <c r="A254" s="2" t="s">
        <v>391</v>
      </c>
      <c r="B254" s="4" t="s">
        <v>33</v>
      </c>
      <c r="C254" s="165">
        <f>Allokationen!E34</f>
        <v>0.92407451060165025</v>
      </c>
      <c r="D254" s="25"/>
      <c r="E254" s="78" t="s">
        <v>137</v>
      </c>
      <c r="F254" s="25"/>
      <c r="G254" s="24"/>
      <c r="H254" s="19"/>
      <c r="I254" s="25"/>
      <c r="J254" s="55"/>
      <c r="K254" s="55"/>
      <c r="L254" s="2"/>
      <c r="N254" s="78"/>
    </row>
    <row r="255" spans="1:14" ht="27.6" x14ac:dyDescent="0.25">
      <c r="A255" s="70" t="s">
        <v>138</v>
      </c>
      <c r="B255" s="4" t="s">
        <v>33</v>
      </c>
      <c r="C255" s="165">
        <f>Allokationen!F34</f>
        <v>2.5559507740045646</v>
      </c>
      <c r="D255" s="25"/>
      <c r="E255" s="78" t="s">
        <v>137</v>
      </c>
      <c r="F255" s="25"/>
      <c r="G255" s="24"/>
      <c r="H255" s="19"/>
      <c r="I255" s="25"/>
      <c r="J255" s="55"/>
      <c r="K255" s="55"/>
      <c r="L255" s="2"/>
      <c r="N255" s="78"/>
    </row>
    <row r="256" spans="1:14" x14ac:dyDescent="0.25">
      <c r="A256" s="70" t="s">
        <v>484</v>
      </c>
      <c r="B256" s="4" t="s">
        <v>128</v>
      </c>
      <c r="C256" s="73">
        <v>1</v>
      </c>
      <c r="D256" s="25"/>
      <c r="E256" s="78"/>
      <c r="F256" s="25"/>
      <c r="G256" s="24"/>
      <c r="H256" s="19"/>
      <c r="I256" s="25"/>
      <c r="J256" s="55"/>
      <c r="K256" s="55"/>
      <c r="L256" s="2"/>
      <c r="N256" s="78"/>
    </row>
    <row r="257" spans="1:14" s="6" customFormat="1" ht="55.2" x14ac:dyDescent="0.25">
      <c r="A257" s="4" t="s">
        <v>140</v>
      </c>
      <c r="B257" s="3" t="s">
        <v>141</v>
      </c>
      <c r="C257" s="73">
        <f>10/2100</f>
        <v>4.7619047619047623E-3</v>
      </c>
      <c r="D257" s="33"/>
      <c r="E257" s="78" t="s">
        <v>327</v>
      </c>
      <c r="F257" s="24"/>
      <c r="G257" s="24"/>
      <c r="H257" s="19"/>
      <c r="I257" s="19"/>
      <c r="J257" s="49"/>
      <c r="K257" s="49"/>
      <c r="L257" s="2"/>
      <c r="N257" s="78"/>
    </row>
    <row r="258" spans="1:14" s="6" customFormat="1" ht="69" x14ac:dyDescent="0.25">
      <c r="A258" s="4" t="s">
        <v>151</v>
      </c>
      <c r="B258" s="3" t="s">
        <v>144</v>
      </c>
      <c r="C258" s="23">
        <f>2*(770*0.00526316)</f>
        <v>8.1052663999999996</v>
      </c>
      <c r="D258" s="33"/>
      <c r="E258" s="78" t="s">
        <v>152</v>
      </c>
      <c r="F258" s="24"/>
      <c r="G258" s="24"/>
      <c r="H258" s="19"/>
      <c r="I258" s="19"/>
      <c r="J258" s="49"/>
      <c r="K258" s="49"/>
      <c r="L258" s="2"/>
      <c r="N258" s="78"/>
    </row>
    <row r="259" spans="1:14" s="6" customFormat="1" x14ac:dyDescent="0.25">
      <c r="A259" s="4"/>
      <c r="B259" s="3"/>
      <c r="C259" s="99"/>
      <c r="D259" s="33"/>
      <c r="E259" s="78"/>
      <c r="F259" s="24"/>
      <c r="G259" s="24"/>
      <c r="H259" s="19"/>
      <c r="I259" s="19"/>
      <c r="J259" s="49"/>
      <c r="K259" s="49"/>
      <c r="L259" s="2"/>
      <c r="N259" s="78"/>
    </row>
    <row r="260" spans="1:14" x14ac:dyDescent="0.25">
      <c r="A260" s="46" t="s">
        <v>35</v>
      </c>
      <c r="B260" s="15"/>
      <c r="C260" s="23"/>
      <c r="D260" s="25"/>
      <c r="E260" s="78"/>
      <c r="F260" s="24"/>
      <c r="G260" s="24" t="str">
        <f t="shared" si="7"/>
        <v/>
      </c>
      <c r="H260" s="19"/>
      <c r="I260" s="19"/>
      <c r="J260" s="27"/>
      <c r="K260" s="27"/>
      <c r="L260" s="2"/>
      <c r="N260" s="78"/>
    </row>
    <row r="261" spans="1:14" x14ac:dyDescent="0.25">
      <c r="A261" s="4" t="s">
        <v>485</v>
      </c>
      <c r="B261" s="98" t="s">
        <v>37</v>
      </c>
      <c r="C261" s="23">
        <v>1</v>
      </c>
      <c r="D261" s="25"/>
      <c r="E261" s="78"/>
      <c r="F261" s="24"/>
      <c r="G261" s="24"/>
      <c r="H261" s="19"/>
      <c r="I261" s="19"/>
      <c r="J261" s="27"/>
      <c r="K261" s="27"/>
      <c r="L261" s="2"/>
      <c r="N261" s="78"/>
    </row>
    <row r="262" spans="1:14" x14ac:dyDescent="0.25">
      <c r="A262" s="4" t="s">
        <v>484</v>
      </c>
      <c r="B262" s="98" t="s">
        <v>37</v>
      </c>
      <c r="C262" s="23">
        <v>1</v>
      </c>
      <c r="D262" s="25"/>
      <c r="E262" s="78"/>
      <c r="F262" s="24"/>
      <c r="G262" s="24"/>
      <c r="H262" s="19"/>
      <c r="I262" s="19"/>
      <c r="J262" s="27"/>
      <c r="K262" s="27"/>
      <c r="L262" s="2"/>
      <c r="N262" s="78"/>
    </row>
    <row r="263" spans="1:14" x14ac:dyDescent="0.25">
      <c r="A263" s="4" t="s">
        <v>486</v>
      </c>
      <c r="B263" s="98" t="s">
        <v>37</v>
      </c>
      <c r="C263" s="23">
        <v>1</v>
      </c>
      <c r="D263" s="25"/>
      <c r="E263" s="78"/>
      <c r="F263" s="24"/>
      <c r="G263" s="24"/>
      <c r="H263" s="19"/>
      <c r="I263" s="19"/>
      <c r="J263" s="27"/>
      <c r="K263" s="27"/>
      <c r="L263" s="2"/>
      <c r="N263" s="78"/>
    </row>
    <row r="264" spans="1:14" ht="26.25" customHeight="1" x14ac:dyDescent="0.25">
      <c r="A264" s="70" t="s">
        <v>160</v>
      </c>
      <c r="B264" s="4" t="s">
        <v>45</v>
      </c>
      <c r="C264" s="73">
        <f>C259</f>
        <v>0</v>
      </c>
      <c r="D264" s="25"/>
      <c r="E264" s="78"/>
      <c r="F264" s="24"/>
      <c r="G264" s="24"/>
      <c r="H264" s="19"/>
      <c r="I264" s="19"/>
      <c r="J264" s="14"/>
      <c r="K264" s="14"/>
      <c r="L264" s="2"/>
      <c r="N264" s="78" t="s">
        <v>161</v>
      </c>
    </row>
    <row r="265" spans="1:14" ht="27.9" customHeight="1" x14ac:dyDescent="0.25">
      <c r="A265" s="70" t="s">
        <v>162</v>
      </c>
      <c r="B265" s="4" t="s">
        <v>144</v>
      </c>
      <c r="C265" s="73">
        <f>0.004761905*200</f>
        <v>0.95238100000000003</v>
      </c>
      <c r="D265" s="25"/>
      <c r="E265" s="78"/>
      <c r="F265" s="24"/>
      <c r="G265" s="24"/>
      <c r="H265" s="19"/>
      <c r="I265" s="19"/>
      <c r="J265" s="14"/>
      <c r="K265" s="14"/>
      <c r="L265" s="2"/>
      <c r="N265" s="78" t="s">
        <v>163</v>
      </c>
    </row>
    <row r="266" spans="1:14" x14ac:dyDescent="0.25">
      <c r="A266" s="4"/>
      <c r="B266" s="98"/>
      <c r="C266" s="23"/>
      <c r="D266" s="25"/>
      <c r="E266" s="78"/>
      <c r="F266" s="24"/>
      <c r="G266" s="24"/>
      <c r="H266" s="19"/>
      <c r="I266" s="19"/>
      <c r="J266" s="27"/>
      <c r="K266" s="27"/>
      <c r="L266" s="2"/>
      <c r="N266" s="78"/>
    </row>
    <row r="267" spans="1:14" s="6" customFormat="1" x14ac:dyDescent="0.25">
      <c r="A267" s="46" t="s">
        <v>394</v>
      </c>
      <c r="B267" s="3"/>
      <c r="C267" s="99"/>
      <c r="D267" s="33"/>
      <c r="E267" s="78"/>
      <c r="F267" s="24"/>
      <c r="G267" s="24"/>
      <c r="H267" s="19"/>
      <c r="I267" s="19"/>
      <c r="J267" s="49"/>
      <c r="K267" s="49"/>
      <c r="L267" s="2"/>
      <c r="N267" s="78"/>
    </row>
    <row r="268" spans="1:14" s="6" customFormat="1" x14ac:dyDescent="0.25">
      <c r="A268" s="4" t="s">
        <v>166</v>
      </c>
      <c r="B268" s="3"/>
      <c r="C268" s="73"/>
      <c r="D268" s="33"/>
      <c r="E268" s="78" t="s">
        <v>167</v>
      </c>
      <c r="F268" s="24"/>
      <c r="G268" s="24"/>
      <c r="H268" s="19"/>
      <c r="I268" s="19"/>
      <c r="J268" s="49"/>
      <c r="K268" s="49"/>
      <c r="L268" s="2"/>
      <c r="N268" s="78"/>
    </row>
    <row r="269" spans="1:14" s="6" customFormat="1" x14ac:dyDescent="0.25">
      <c r="A269" s="4" t="s">
        <v>168</v>
      </c>
      <c r="B269" s="3"/>
      <c r="C269" s="73"/>
      <c r="D269" s="33"/>
      <c r="E269" s="78" t="s">
        <v>169</v>
      </c>
      <c r="F269" s="24"/>
      <c r="G269" s="24"/>
      <c r="H269" s="19"/>
      <c r="I269" s="19"/>
      <c r="J269" s="49"/>
      <c r="K269" s="49"/>
      <c r="L269" s="2"/>
      <c r="N269" s="78"/>
    </row>
    <row r="270" spans="1:14" s="6" customFormat="1" x14ac:dyDescent="0.25">
      <c r="A270" s="4" t="s">
        <v>170</v>
      </c>
      <c r="B270" s="3"/>
      <c r="C270" s="73"/>
      <c r="D270" s="33"/>
      <c r="E270" s="78"/>
      <c r="F270" s="24"/>
      <c r="G270" s="24"/>
      <c r="H270" s="19"/>
      <c r="I270" s="19"/>
      <c r="J270" s="49"/>
      <c r="K270" s="49"/>
      <c r="L270" s="2"/>
      <c r="N270" s="78"/>
    </row>
    <row r="271" spans="1:14" s="6" customFormat="1" x14ac:dyDescent="0.25">
      <c r="A271" s="4"/>
      <c r="B271" s="3"/>
      <c r="C271" s="99"/>
      <c r="D271" s="33"/>
      <c r="E271" s="78"/>
      <c r="F271" s="24"/>
      <c r="G271" s="24"/>
      <c r="H271" s="19"/>
      <c r="I271" s="19"/>
      <c r="J271" s="49"/>
      <c r="K271" s="49"/>
      <c r="L271" s="2"/>
      <c r="N271" s="78"/>
    </row>
    <row r="272" spans="1:14" ht="41.4" x14ac:dyDescent="0.25">
      <c r="A272" s="10" t="s">
        <v>487</v>
      </c>
      <c r="B272" s="11" t="s">
        <v>10</v>
      </c>
      <c r="C272" s="11" t="s">
        <v>1</v>
      </c>
      <c r="D272" s="11" t="s">
        <v>11</v>
      </c>
      <c r="E272" s="10" t="s">
        <v>12</v>
      </c>
      <c r="F272" s="35" t="s">
        <v>13</v>
      </c>
      <c r="G272" s="35" t="s">
        <v>14</v>
      </c>
      <c r="H272" s="35" t="s">
        <v>15</v>
      </c>
      <c r="I272" s="18" t="s">
        <v>16</v>
      </c>
      <c r="J272" s="18" t="s">
        <v>17</v>
      </c>
      <c r="K272" s="18" t="s">
        <v>18</v>
      </c>
      <c r="L272" s="11" t="s">
        <v>19</v>
      </c>
      <c r="N272" s="78"/>
    </row>
    <row r="273" spans="1:14" s="86" customFormat="1" ht="78" customHeight="1" x14ac:dyDescent="0.25">
      <c r="A273" s="66" t="s">
        <v>177</v>
      </c>
      <c r="B273" s="216" t="s">
        <v>488</v>
      </c>
      <c r="C273" s="217"/>
      <c r="D273" s="217"/>
      <c r="E273" s="218"/>
      <c r="F273" s="95"/>
      <c r="G273" s="95"/>
      <c r="H273" s="95"/>
      <c r="I273" s="96"/>
      <c r="J273" s="96"/>
      <c r="K273" s="96"/>
      <c r="L273" s="87"/>
      <c r="M273" s="1"/>
      <c r="N273" s="78"/>
    </row>
    <row r="274" spans="1:14" x14ac:dyDescent="0.25">
      <c r="A274" s="66" t="s">
        <v>22</v>
      </c>
      <c r="B274" s="87"/>
      <c r="C274" s="87">
        <v>1</v>
      </c>
      <c r="D274" s="87"/>
      <c r="E274" s="66"/>
      <c r="F274" s="95"/>
      <c r="G274" s="95"/>
      <c r="H274" s="95"/>
      <c r="I274" s="96"/>
      <c r="J274" s="96"/>
      <c r="K274" s="96"/>
      <c r="L274" s="87"/>
      <c r="N274" s="78"/>
    </row>
    <row r="275" spans="1:14" ht="55.2" x14ac:dyDescent="0.25">
      <c r="A275" s="66" t="s">
        <v>25</v>
      </c>
      <c r="B275" s="87" t="s">
        <v>115</v>
      </c>
      <c r="C275" s="87" t="s">
        <v>489</v>
      </c>
      <c r="D275" s="87"/>
      <c r="E275" s="66"/>
      <c r="F275" s="95"/>
      <c r="G275" s="95"/>
      <c r="H275" s="95"/>
      <c r="I275" s="96"/>
      <c r="J275" s="96"/>
      <c r="K275" s="96"/>
      <c r="L275" s="87"/>
      <c r="N275" s="78"/>
    </row>
    <row r="276" spans="1:14" x14ac:dyDescent="0.25">
      <c r="A276" s="46" t="s">
        <v>26</v>
      </c>
      <c r="B276" s="15"/>
      <c r="C276" s="23"/>
      <c r="D276" s="34"/>
      <c r="E276" s="78"/>
      <c r="F276" s="24"/>
      <c r="G276" s="24" t="str">
        <f t="shared" ref="G276:G277" si="8">IF($F276="","",IF($F276="Gemessen","sehr gut",IF($F276="Berechnet","gut",IF($F276="Literaturwert","befriedigend",IF($F276="Geschätzt","schlecht",IF($F276="Keine Angabe","nicht erhoben",IF($F276="Datenbank (Gabi) | NUR UMSICHT","GaBi",IF($F276="Datenbank (ecoinvent) | NUR UMSICHT","ecoinvent"))))))))</f>
        <v/>
      </c>
      <c r="H276" s="19"/>
      <c r="I276" s="19"/>
      <c r="J276" s="28"/>
      <c r="K276" s="28"/>
      <c r="L276" s="2"/>
      <c r="N276" s="78"/>
    </row>
    <row r="277" spans="1:14" x14ac:dyDescent="0.25">
      <c r="A277" s="4" t="s">
        <v>484</v>
      </c>
      <c r="B277" s="4" t="s">
        <v>128</v>
      </c>
      <c r="C277" s="23">
        <v>1</v>
      </c>
      <c r="D277" s="25"/>
      <c r="E277" s="78"/>
      <c r="F277" s="24"/>
      <c r="G277" s="24" t="str">
        <f t="shared" si="8"/>
        <v/>
      </c>
      <c r="H277" s="19"/>
      <c r="I277" s="19"/>
      <c r="J277" s="29"/>
      <c r="K277" s="29"/>
      <c r="L277" s="2"/>
      <c r="N277" s="78"/>
    </row>
    <row r="278" spans="1:14" ht="29.4" x14ac:dyDescent="0.25">
      <c r="A278" s="4" t="s">
        <v>130</v>
      </c>
      <c r="B278" s="4" t="s">
        <v>131</v>
      </c>
      <c r="C278" s="23">
        <f>(4/26280000)*(55+840)</f>
        <v>1.3622526636225267E-4</v>
      </c>
      <c r="D278" s="144"/>
      <c r="E278" s="78" t="s">
        <v>181</v>
      </c>
      <c r="F278" s="25"/>
      <c r="G278" s="24"/>
      <c r="H278" s="19"/>
      <c r="I278" s="25"/>
      <c r="J278" s="55"/>
      <c r="K278" s="55"/>
      <c r="L278" s="2"/>
      <c r="N278" s="78"/>
    </row>
    <row r="279" spans="1:14" x14ac:dyDescent="0.25">
      <c r="A279" s="4" t="s">
        <v>134</v>
      </c>
      <c r="B279" s="4" t="s">
        <v>125</v>
      </c>
      <c r="C279" s="23">
        <f>($C$232/1126.5 )*(55+840)</f>
        <v>0.12430555555555556</v>
      </c>
      <c r="D279" s="146"/>
      <c r="E279" s="78" t="s">
        <v>135</v>
      </c>
      <c r="F279" s="25"/>
      <c r="G279" s="24"/>
      <c r="H279" s="19"/>
      <c r="I279" s="25"/>
      <c r="J279" s="55"/>
      <c r="K279" s="55"/>
      <c r="L279" s="2"/>
      <c r="M279" s="78"/>
      <c r="N279" s="161"/>
    </row>
    <row r="280" spans="1:14" ht="27.6" x14ac:dyDescent="0.25">
      <c r="A280" s="4" t="s">
        <v>182</v>
      </c>
      <c r="B280" s="4" t="s">
        <v>33</v>
      </c>
      <c r="C280" s="121"/>
      <c r="D280" s="172">
        <v>0.47599999999999998</v>
      </c>
      <c r="E280" s="78" t="s">
        <v>490</v>
      </c>
      <c r="F280" s="24"/>
      <c r="G280" s="24"/>
      <c r="H280" s="19"/>
      <c r="I280" s="19"/>
      <c r="J280" s="29"/>
      <c r="K280" s="29"/>
      <c r="L280" s="2"/>
      <c r="N280" s="78"/>
    </row>
    <row r="281" spans="1:14" ht="27.6" x14ac:dyDescent="0.25">
      <c r="A281" s="4" t="s">
        <v>186</v>
      </c>
      <c r="B281" s="4" t="s">
        <v>33</v>
      </c>
      <c r="C281" s="165">
        <f>Allokationen!E35</f>
        <v>5.0824098083090767</v>
      </c>
      <c r="D281" s="166"/>
      <c r="E281" s="78" t="s">
        <v>137</v>
      </c>
      <c r="F281" s="24"/>
      <c r="G281" s="24"/>
      <c r="H281" s="19"/>
      <c r="I281" s="19"/>
      <c r="J281" s="28"/>
      <c r="K281" s="28"/>
      <c r="L281" s="2"/>
      <c r="N281" s="78"/>
    </row>
    <row r="282" spans="1:14" ht="27.6" x14ac:dyDescent="0.25">
      <c r="A282" s="4" t="s">
        <v>138</v>
      </c>
      <c r="B282" s="4" t="s">
        <v>33</v>
      </c>
      <c r="C282" s="165">
        <f>Allokationen!F35</f>
        <v>14.057729257025105</v>
      </c>
      <c r="D282" s="166"/>
      <c r="E282" s="78" t="s">
        <v>137</v>
      </c>
      <c r="F282" s="24"/>
      <c r="G282" s="24"/>
      <c r="H282" s="19"/>
      <c r="I282" s="19"/>
      <c r="J282" s="28"/>
      <c r="K282" s="28"/>
      <c r="L282" s="2"/>
      <c r="N282" s="78"/>
    </row>
    <row r="283" spans="1:14" ht="248.4" x14ac:dyDescent="0.25">
      <c r="A283" s="4" t="s">
        <v>187</v>
      </c>
      <c r="B283" s="4" t="s">
        <v>188</v>
      </c>
      <c r="C283" s="73">
        <f>6*300+0.5*333</f>
        <v>1966.5</v>
      </c>
      <c r="D283" s="78"/>
      <c r="E283" s="78" t="s">
        <v>491</v>
      </c>
      <c r="F283" s="24"/>
      <c r="G283" s="24"/>
      <c r="H283" s="19"/>
      <c r="I283" s="19"/>
      <c r="J283" s="28"/>
      <c r="K283" s="28"/>
      <c r="L283" s="2"/>
      <c r="N283" s="78" t="s">
        <v>190</v>
      </c>
    </row>
    <row r="284" spans="1:14" ht="69" x14ac:dyDescent="0.25">
      <c r="A284" s="70" t="s">
        <v>199</v>
      </c>
      <c r="B284" s="4" t="s">
        <v>144</v>
      </c>
      <c r="C284" s="73">
        <f>10*0.9</f>
        <v>9</v>
      </c>
      <c r="D284" s="25"/>
      <c r="E284" s="78" t="s">
        <v>200</v>
      </c>
      <c r="F284" s="24"/>
      <c r="G284" s="24"/>
      <c r="H284" s="19"/>
      <c r="I284" s="19"/>
      <c r="J284" s="14"/>
      <c r="K284" s="14"/>
      <c r="L284" s="2"/>
      <c r="N284" s="78" t="s">
        <v>201</v>
      </c>
    </row>
    <row r="285" spans="1:14" s="6" customFormat="1" ht="151.80000000000001" x14ac:dyDescent="0.25">
      <c r="A285" s="4" t="s">
        <v>202</v>
      </c>
      <c r="B285" s="3" t="s">
        <v>144</v>
      </c>
      <c r="C285" s="73">
        <f>0.1*28.57</f>
        <v>2.8570000000000002</v>
      </c>
      <c r="D285" s="33"/>
      <c r="E285" s="78" t="s">
        <v>203</v>
      </c>
      <c r="F285" s="24"/>
      <c r="G285" s="24"/>
      <c r="H285" s="19"/>
      <c r="I285" s="19"/>
      <c r="J285" s="49"/>
      <c r="K285" s="49"/>
      <c r="L285" s="2"/>
      <c r="N285" s="78" t="s">
        <v>204</v>
      </c>
    </row>
    <row r="286" spans="1:14" ht="27.6" x14ac:dyDescent="0.25">
      <c r="A286" s="4" t="s">
        <v>342</v>
      </c>
      <c r="B286" s="4" t="s">
        <v>128</v>
      </c>
      <c r="C286" s="73">
        <v>2</v>
      </c>
      <c r="D286" s="34"/>
      <c r="E286" s="78" t="s">
        <v>343</v>
      </c>
      <c r="F286" s="24"/>
      <c r="G286" s="24"/>
      <c r="H286" s="19"/>
      <c r="I286" s="19"/>
      <c r="J286" s="28"/>
      <c r="K286" s="28"/>
      <c r="L286" s="2"/>
      <c r="N286" s="78"/>
    </row>
    <row r="287" spans="1:14" ht="27.6" x14ac:dyDescent="0.25">
      <c r="A287" s="4" t="s">
        <v>195</v>
      </c>
      <c r="B287" s="4" t="s">
        <v>144</v>
      </c>
      <c r="C287" s="73">
        <f>11*5.6</f>
        <v>61.599999999999994</v>
      </c>
      <c r="D287" s="34"/>
      <c r="E287" s="78" t="s">
        <v>492</v>
      </c>
      <c r="F287" s="24"/>
      <c r="G287" s="24"/>
      <c r="H287" s="19"/>
      <c r="I287" s="19"/>
      <c r="J287" s="28"/>
      <c r="K287" s="28"/>
      <c r="L287" s="2"/>
      <c r="N287" s="78"/>
    </row>
    <row r="288" spans="1:14" ht="41.4" x14ac:dyDescent="0.25">
      <c r="A288" s="4" t="s">
        <v>216</v>
      </c>
      <c r="B288" s="3" t="s">
        <v>144</v>
      </c>
      <c r="C288" s="73">
        <f>2*8.4</f>
        <v>16.8</v>
      </c>
      <c r="D288" s="33"/>
      <c r="E288" s="78" t="s">
        <v>217</v>
      </c>
      <c r="F288" s="24"/>
      <c r="G288" s="24"/>
      <c r="H288" s="19"/>
      <c r="I288" s="19"/>
      <c r="J288" s="49"/>
      <c r="K288" s="49"/>
      <c r="L288" s="2"/>
      <c r="M288" s="6"/>
      <c r="N288" s="78"/>
    </row>
    <row r="289" spans="1:21" s="6" customFormat="1" ht="82.8" x14ac:dyDescent="0.25">
      <c r="A289" s="4" t="s">
        <v>218</v>
      </c>
      <c r="B289" s="3" t="s">
        <v>219</v>
      </c>
      <c r="C289" s="73">
        <v>217.5</v>
      </c>
      <c r="D289" s="33"/>
      <c r="E289" s="78" t="s">
        <v>493</v>
      </c>
      <c r="F289" s="24"/>
      <c r="G289" s="24"/>
      <c r="H289" s="19"/>
      <c r="I289" s="19"/>
      <c r="J289" s="49"/>
      <c r="K289" s="49"/>
      <c r="L289" s="2"/>
      <c r="N289" s="78" t="s">
        <v>221</v>
      </c>
      <c r="O289" s="136"/>
      <c r="P289" s="67"/>
      <c r="Q289" s="84"/>
      <c r="R289" s="54"/>
      <c r="S289" s="54"/>
      <c r="T289" s="53"/>
      <c r="U289" s="53"/>
    </row>
    <row r="290" spans="1:21" s="6" customFormat="1" ht="165.6" x14ac:dyDescent="0.25">
      <c r="A290" s="4" t="s">
        <v>222</v>
      </c>
      <c r="B290" s="3" t="s">
        <v>219</v>
      </c>
      <c r="C290" s="73">
        <v>300</v>
      </c>
      <c r="D290" s="33"/>
      <c r="E290" s="78" t="s">
        <v>494</v>
      </c>
      <c r="F290" s="24"/>
      <c r="G290" s="24"/>
      <c r="H290" s="19"/>
      <c r="I290" s="19"/>
      <c r="J290" s="49"/>
      <c r="K290" s="49"/>
      <c r="L290" s="2"/>
      <c r="N290" s="78" t="s">
        <v>224</v>
      </c>
      <c r="O290" s="136"/>
      <c r="P290" s="67"/>
      <c r="Q290" s="84"/>
      <c r="R290" s="54"/>
      <c r="S290" s="54"/>
      <c r="T290" s="53"/>
      <c r="U290" s="53"/>
    </row>
    <row r="291" spans="1:21" s="6" customFormat="1" ht="27.6" x14ac:dyDescent="0.25">
      <c r="A291" s="4" t="s">
        <v>225</v>
      </c>
      <c r="B291" s="3" t="s">
        <v>219</v>
      </c>
      <c r="C291" s="73">
        <v>75</v>
      </c>
      <c r="D291" s="33"/>
      <c r="E291" s="78" t="s">
        <v>495</v>
      </c>
      <c r="F291" s="24"/>
      <c r="G291" s="24"/>
      <c r="H291" s="19"/>
      <c r="I291" s="19"/>
      <c r="J291" s="49"/>
      <c r="K291" s="49"/>
      <c r="L291" s="2"/>
      <c r="N291" s="78" t="s">
        <v>227</v>
      </c>
      <c r="O291" s="136"/>
      <c r="P291" s="67"/>
      <c r="Q291" s="84"/>
      <c r="R291" s="54"/>
      <c r="S291" s="54"/>
      <c r="T291" s="53"/>
      <c r="U291" s="53"/>
    </row>
    <row r="292" spans="1:21" s="6" customFormat="1" ht="27.6" x14ac:dyDescent="0.25">
      <c r="A292" s="4" t="s">
        <v>228</v>
      </c>
      <c r="B292" s="3" t="s">
        <v>219</v>
      </c>
      <c r="C292" s="73">
        <v>37.5</v>
      </c>
      <c r="D292" s="33"/>
      <c r="E292" s="78" t="s">
        <v>496</v>
      </c>
      <c r="F292" s="24"/>
      <c r="G292" s="24"/>
      <c r="H292" s="19"/>
      <c r="I292" s="19"/>
      <c r="J292" s="49"/>
      <c r="K292" s="49"/>
      <c r="L292" s="2"/>
      <c r="N292" s="78" t="s">
        <v>227</v>
      </c>
      <c r="O292" s="136"/>
      <c r="P292" s="67"/>
      <c r="Q292" s="84"/>
      <c r="R292" s="54"/>
      <c r="S292" s="54"/>
      <c r="T292" s="53"/>
      <c r="U292" s="53"/>
    </row>
    <row r="293" spans="1:21" s="6" customFormat="1" ht="41.4" x14ac:dyDescent="0.25">
      <c r="A293" s="4" t="s">
        <v>497</v>
      </c>
      <c r="B293" s="4" t="s">
        <v>125</v>
      </c>
      <c r="C293" s="73"/>
      <c r="D293" s="33"/>
      <c r="E293" s="78" t="s">
        <v>498</v>
      </c>
      <c r="F293" s="24"/>
      <c r="G293" s="24"/>
      <c r="H293" s="19"/>
      <c r="I293" s="19"/>
      <c r="J293" s="49"/>
      <c r="K293" s="49"/>
      <c r="L293" s="2"/>
      <c r="N293" s="78"/>
    </row>
    <row r="294" spans="1:21" s="6" customFormat="1" ht="124.2" x14ac:dyDescent="0.25">
      <c r="A294" s="4" t="s">
        <v>230</v>
      </c>
      <c r="B294" s="3" t="s">
        <v>344</v>
      </c>
      <c r="C294" s="73">
        <v>18</v>
      </c>
      <c r="D294" s="33"/>
      <c r="E294" s="78" t="s">
        <v>231</v>
      </c>
      <c r="F294" s="24"/>
      <c r="G294" s="24"/>
      <c r="H294" s="19"/>
      <c r="I294" s="19"/>
      <c r="J294" s="49"/>
      <c r="K294" s="49"/>
      <c r="L294" s="2"/>
      <c r="N294" s="78" t="s">
        <v>232</v>
      </c>
    </row>
    <row r="295" spans="1:21" s="6" customFormat="1" x14ac:dyDescent="0.25">
      <c r="A295" s="4"/>
      <c r="B295" s="4"/>
      <c r="C295" s="99"/>
      <c r="D295" s="33"/>
      <c r="E295" s="78"/>
      <c r="F295" s="24"/>
      <c r="G295" s="24"/>
      <c r="H295" s="19"/>
      <c r="I295" s="19"/>
      <c r="J295" s="49"/>
      <c r="K295" s="49"/>
      <c r="L295" s="2"/>
      <c r="N295" s="78"/>
    </row>
    <row r="296" spans="1:21" s="6" customFormat="1" x14ac:dyDescent="0.25">
      <c r="A296" s="46" t="s">
        <v>35</v>
      </c>
      <c r="B296" s="4"/>
      <c r="C296" s="99"/>
      <c r="D296" s="33"/>
      <c r="E296" s="78"/>
      <c r="F296" s="24"/>
      <c r="G296" s="24"/>
      <c r="H296" s="19"/>
      <c r="I296" s="19"/>
      <c r="J296" s="49"/>
      <c r="K296" s="49"/>
      <c r="L296" s="2"/>
      <c r="N296" s="78"/>
    </row>
    <row r="297" spans="1:21" s="6" customFormat="1" x14ac:dyDescent="0.25">
      <c r="A297" s="4" t="s">
        <v>499</v>
      </c>
      <c r="B297" s="4" t="s">
        <v>37</v>
      </c>
      <c r="C297" s="99"/>
      <c r="D297" s="33"/>
      <c r="E297" s="78"/>
      <c r="F297" s="24"/>
      <c r="G297" s="24"/>
      <c r="H297" s="19"/>
      <c r="I297" s="19"/>
      <c r="J297" s="49"/>
      <c r="K297" s="49"/>
      <c r="L297" s="2"/>
      <c r="N297" s="78"/>
    </row>
    <row r="298" spans="1:21" s="6" customFormat="1" ht="41.4" x14ac:dyDescent="0.25">
      <c r="A298" s="4" t="s">
        <v>247</v>
      </c>
      <c r="B298" s="4" t="s">
        <v>144</v>
      </c>
      <c r="C298" s="23">
        <f>C285</f>
        <v>2.8570000000000002</v>
      </c>
      <c r="D298" s="25"/>
      <c r="E298" s="78"/>
      <c r="F298" s="24"/>
      <c r="G298" s="24"/>
      <c r="H298" s="19"/>
      <c r="I298" s="19"/>
      <c r="J298" s="28"/>
      <c r="K298" s="28"/>
      <c r="L298" s="2"/>
      <c r="M298" s="1"/>
      <c r="N298" s="78" t="s">
        <v>163</v>
      </c>
    </row>
    <row r="299" spans="1:21" ht="27.6" x14ac:dyDescent="0.25">
      <c r="A299" s="2" t="s">
        <v>237</v>
      </c>
      <c r="B299" s="4" t="s">
        <v>144</v>
      </c>
      <c r="C299" s="73">
        <v>5.85</v>
      </c>
      <c r="D299" s="25"/>
      <c r="E299" s="78" t="s">
        <v>500</v>
      </c>
      <c r="F299" s="24"/>
      <c r="G299" s="24"/>
      <c r="H299" s="19"/>
      <c r="I299" s="19"/>
      <c r="J299" s="28"/>
      <c r="K299" s="28"/>
      <c r="L299" s="2"/>
      <c r="N299" s="78" t="s">
        <v>236</v>
      </c>
    </row>
    <row r="300" spans="1:21" x14ac:dyDescent="0.25">
      <c r="A300" s="2" t="s">
        <v>240</v>
      </c>
      <c r="B300" s="4" t="s">
        <v>45</v>
      </c>
      <c r="C300" s="73"/>
      <c r="D300" s="25"/>
      <c r="E300" s="78" t="s">
        <v>241</v>
      </c>
      <c r="F300" s="24"/>
      <c r="G300" s="24"/>
      <c r="H300" s="19"/>
      <c r="I300" s="19"/>
      <c r="J300" s="28"/>
      <c r="K300" s="28"/>
      <c r="L300" s="2"/>
      <c r="N300" s="78"/>
    </row>
    <row r="301" spans="1:21" ht="41.4" x14ac:dyDescent="0.25">
      <c r="A301" s="2" t="s">
        <v>251</v>
      </c>
      <c r="B301" s="4" t="s">
        <v>144</v>
      </c>
      <c r="C301" s="73">
        <v>16.8</v>
      </c>
      <c r="D301" s="25"/>
      <c r="E301" s="78" t="s">
        <v>252</v>
      </c>
      <c r="F301" s="24"/>
      <c r="G301" s="24"/>
      <c r="H301" s="19"/>
      <c r="I301" s="19"/>
      <c r="J301" s="28"/>
      <c r="K301" s="28"/>
      <c r="L301" s="2"/>
      <c r="N301" s="78" t="s">
        <v>253</v>
      </c>
    </row>
    <row r="302" spans="1:21" ht="27.6" x14ac:dyDescent="0.25">
      <c r="A302" s="4" t="s">
        <v>342</v>
      </c>
      <c r="B302" s="4" t="s">
        <v>144</v>
      </c>
      <c r="C302" s="73">
        <f>7.8*C286</f>
        <v>15.6</v>
      </c>
      <c r="D302" s="34"/>
      <c r="E302" s="78" t="s">
        <v>343</v>
      </c>
      <c r="F302" s="24"/>
      <c r="G302" s="24"/>
      <c r="H302" s="19"/>
      <c r="I302" s="19"/>
      <c r="J302" s="28"/>
      <c r="K302" s="28"/>
      <c r="L302" s="2"/>
      <c r="N302" s="78" t="s">
        <v>236</v>
      </c>
    </row>
    <row r="303" spans="1:21" ht="27.6" x14ac:dyDescent="0.25">
      <c r="A303" s="4" t="s">
        <v>195</v>
      </c>
      <c r="B303" s="4" t="s">
        <v>144</v>
      </c>
      <c r="C303" s="73">
        <f>11*6.55</f>
        <v>72.05</v>
      </c>
      <c r="D303" s="34"/>
      <c r="E303" s="78" t="s">
        <v>501</v>
      </c>
      <c r="F303" s="24"/>
      <c r="G303" s="24"/>
      <c r="H303" s="19"/>
      <c r="I303" s="19"/>
      <c r="J303" s="28"/>
      <c r="K303" s="28"/>
      <c r="L303" s="2"/>
      <c r="N303" s="78" t="s">
        <v>236</v>
      </c>
    </row>
    <row r="304" spans="1:21" ht="27.6" x14ac:dyDescent="0.25">
      <c r="A304" s="2" t="s">
        <v>249</v>
      </c>
      <c r="B304" s="4" t="s">
        <v>344</v>
      </c>
      <c r="C304" s="23">
        <f>C294</f>
        <v>18</v>
      </c>
      <c r="D304" s="25"/>
      <c r="E304" s="78"/>
      <c r="F304" s="24"/>
      <c r="G304" s="24"/>
      <c r="H304" s="19"/>
      <c r="I304" s="19"/>
      <c r="J304" s="28"/>
      <c r="K304" s="28"/>
      <c r="L304" s="2"/>
      <c r="N304" s="78" t="s">
        <v>250</v>
      </c>
    </row>
    <row r="305" spans="1:14" ht="24.9" customHeight="1" thickBot="1" x14ac:dyDescent="0.3">
      <c r="A305" s="4" t="s">
        <v>255</v>
      </c>
      <c r="B305" s="4" t="s">
        <v>156</v>
      </c>
      <c r="C305" s="23">
        <f>0.1*(((SUM(C290:C292)/1.36)/1000)*600)</f>
        <v>18.198529411764707</v>
      </c>
      <c r="D305" s="34"/>
      <c r="E305" s="78" t="s">
        <v>462</v>
      </c>
      <c r="F305" s="175"/>
      <c r="G305" s="24"/>
      <c r="H305" s="23"/>
      <c r="I305" s="23"/>
      <c r="J305" s="176"/>
      <c r="K305" s="176"/>
      <c r="L305" s="113"/>
      <c r="M305" s="78"/>
      <c r="N305" s="177"/>
    </row>
    <row r="306" spans="1:14" s="6" customFormat="1" x14ac:dyDescent="0.25">
      <c r="A306" s="4"/>
      <c r="B306" s="4"/>
      <c r="C306" s="99"/>
      <c r="D306" s="33"/>
      <c r="E306" s="78"/>
      <c r="F306" s="24"/>
      <c r="G306" s="24"/>
      <c r="H306" s="19"/>
      <c r="I306" s="19"/>
      <c r="J306" s="49"/>
      <c r="K306" s="49"/>
      <c r="L306" s="2"/>
      <c r="N306" s="78"/>
    </row>
    <row r="307" spans="1:14" x14ac:dyDescent="0.25">
      <c r="A307" s="71" t="s">
        <v>259</v>
      </c>
      <c r="B307" s="4"/>
      <c r="C307" s="73"/>
      <c r="D307" s="25"/>
      <c r="E307" s="78"/>
      <c r="F307" s="24"/>
      <c r="G307" s="24"/>
      <c r="H307" s="19"/>
      <c r="I307" s="19"/>
      <c r="J307" s="28"/>
      <c r="K307" s="28"/>
      <c r="L307" s="2"/>
      <c r="N307" s="78"/>
    </row>
    <row r="308" spans="1:14" ht="110.4" x14ac:dyDescent="0.25">
      <c r="A308" s="4" t="s">
        <v>260</v>
      </c>
      <c r="B308" s="4"/>
      <c r="C308" s="73" t="s">
        <v>502</v>
      </c>
      <c r="D308" s="34"/>
      <c r="E308" s="78" t="s">
        <v>262</v>
      </c>
      <c r="F308" s="24"/>
      <c r="G308" s="24"/>
      <c r="H308" s="19"/>
      <c r="I308" s="19"/>
      <c r="J308" s="28"/>
      <c r="K308" s="28"/>
      <c r="L308" s="2"/>
      <c r="N308" s="78"/>
    </row>
    <row r="309" spans="1:14" s="6" customFormat="1" x14ac:dyDescent="0.25">
      <c r="A309" s="4" t="s">
        <v>269</v>
      </c>
      <c r="B309" s="3"/>
      <c r="C309" s="73"/>
      <c r="D309" s="33"/>
      <c r="E309" s="78" t="s">
        <v>270</v>
      </c>
      <c r="F309" s="24"/>
      <c r="G309" s="24"/>
      <c r="H309" s="19"/>
      <c r="I309" s="19"/>
      <c r="J309" s="49"/>
      <c r="K309" s="49"/>
      <c r="L309" s="2"/>
      <c r="N309" s="78"/>
    </row>
    <row r="310" spans="1:14" s="6" customFormat="1" ht="41.4" x14ac:dyDescent="0.25">
      <c r="A310" s="4" t="s">
        <v>271</v>
      </c>
      <c r="B310" s="3"/>
      <c r="C310" s="73"/>
      <c r="D310" s="33"/>
      <c r="E310" s="78" t="s">
        <v>272</v>
      </c>
      <c r="F310" s="24"/>
      <c r="G310" s="24"/>
      <c r="H310" s="19"/>
      <c r="I310" s="19"/>
      <c r="J310" s="49"/>
      <c r="K310" s="49"/>
      <c r="L310" s="2"/>
      <c r="N310" s="78"/>
    </row>
    <row r="311" spans="1:14" s="6" customFormat="1" x14ac:dyDescent="0.25">
      <c r="A311" s="4"/>
      <c r="B311" s="3"/>
      <c r="C311" s="73"/>
      <c r="D311" s="33"/>
      <c r="E311" s="78"/>
      <c r="F311" s="24"/>
      <c r="G311" s="24"/>
      <c r="H311" s="19"/>
      <c r="I311" s="19"/>
      <c r="J311" s="49"/>
      <c r="K311" s="49"/>
      <c r="L311" s="2"/>
      <c r="N311" s="78"/>
    </row>
    <row r="312" spans="1:14" ht="41.4" x14ac:dyDescent="0.25">
      <c r="A312" s="10" t="s">
        <v>282</v>
      </c>
      <c r="B312" s="11" t="s">
        <v>10</v>
      </c>
      <c r="C312" s="11" t="s">
        <v>1</v>
      </c>
      <c r="D312" s="11" t="s">
        <v>11</v>
      </c>
      <c r="E312" s="10" t="s">
        <v>12</v>
      </c>
      <c r="F312" s="35" t="s">
        <v>13</v>
      </c>
      <c r="G312" s="35" t="s">
        <v>14</v>
      </c>
      <c r="H312" s="35" t="s">
        <v>15</v>
      </c>
      <c r="I312" s="18" t="s">
        <v>16</v>
      </c>
      <c r="J312" s="18" t="s">
        <v>17</v>
      </c>
      <c r="K312" s="18" t="s">
        <v>18</v>
      </c>
      <c r="L312" s="11" t="s">
        <v>19</v>
      </c>
      <c r="N312" s="78"/>
    </row>
    <row r="313" spans="1:14" s="86" customFormat="1" x14ac:dyDescent="0.25">
      <c r="A313" s="66" t="s">
        <v>177</v>
      </c>
      <c r="B313" s="216" t="s">
        <v>503</v>
      </c>
      <c r="C313" s="217"/>
      <c r="D313" s="217"/>
      <c r="E313" s="218"/>
      <c r="F313" s="95"/>
      <c r="G313" s="95"/>
      <c r="H313" s="95"/>
      <c r="I313" s="96"/>
      <c r="J313" s="96"/>
      <c r="K313" s="96"/>
      <c r="L313" s="87"/>
      <c r="M313" s="1"/>
      <c r="N313" s="78"/>
    </row>
    <row r="314" spans="1:14" x14ac:dyDescent="0.25">
      <c r="A314" s="66" t="s">
        <v>22</v>
      </c>
      <c r="B314" s="87"/>
      <c r="C314" s="103" t="s">
        <v>331</v>
      </c>
      <c r="D314" s="87"/>
      <c r="E314" s="66"/>
      <c r="F314" s="95"/>
      <c r="G314" s="95"/>
      <c r="H314" s="95"/>
      <c r="I314" s="96"/>
      <c r="J314" s="96"/>
      <c r="K314" s="96"/>
      <c r="L314" s="87"/>
      <c r="N314" s="78"/>
    </row>
    <row r="315" spans="1:14" ht="110.4" x14ac:dyDescent="0.25">
      <c r="A315" s="66" t="s">
        <v>25</v>
      </c>
      <c r="B315" s="87"/>
      <c r="C315" s="87">
        <v>151.5</v>
      </c>
      <c r="D315" s="87"/>
      <c r="E315" s="66" t="s">
        <v>504</v>
      </c>
      <c r="F315" s="95"/>
      <c r="G315" s="95"/>
      <c r="H315" s="95"/>
      <c r="I315" s="96"/>
      <c r="J315" s="96"/>
      <c r="K315" s="96"/>
      <c r="L315" s="87"/>
      <c r="N315" s="78"/>
    </row>
    <row r="316" spans="1:14" x14ac:dyDescent="0.25">
      <c r="A316" s="46" t="s">
        <v>26</v>
      </c>
      <c r="B316" s="15"/>
      <c r="C316" s="23"/>
      <c r="D316" s="34"/>
      <c r="E316" s="78"/>
      <c r="F316" s="24"/>
      <c r="G316" s="24" t="str">
        <f t="shared" ref="G316" si="9">IF($F316="","",IF($F316="Gemessen","sehr gut",IF($F316="Berechnet","gut",IF($F316="Literaturwert","befriedigend",IF($F316="Geschätzt","schlecht",IF($F316="Keine Angabe","nicht erhoben",IF($F316="Datenbank (Gabi) | NUR UMSICHT","GaBi",IF($F316="Datenbank (ecoinvent) | NUR UMSICHT","ecoinvent"))))))))</f>
        <v/>
      </c>
      <c r="H316" s="19"/>
      <c r="I316" s="19"/>
      <c r="J316" s="28"/>
      <c r="K316" s="28"/>
      <c r="L316" s="2"/>
      <c r="N316" s="78"/>
    </row>
    <row r="317" spans="1:14" x14ac:dyDescent="0.25">
      <c r="A317" s="4" t="s">
        <v>505</v>
      </c>
      <c r="B317" s="4" t="s">
        <v>39</v>
      </c>
      <c r="C317" s="23">
        <v>1</v>
      </c>
      <c r="D317" s="34"/>
      <c r="E317" s="78"/>
      <c r="F317" s="24"/>
      <c r="G317" s="24"/>
      <c r="H317" s="19"/>
      <c r="I317" s="19"/>
      <c r="J317" s="28"/>
      <c r="K317" s="28"/>
      <c r="L317" s="2"/>
      <c r="N317" s="78"/>
    </row>
    <row r="318" spans="1:14" ht="29.4" x14ac:dyDescent="0.25">
      <c r="A318" s="4" t="s">
        <v>130</v>
      </c>
      <c r="B318" s="4" t="s">
        <v>131</v>
      </c>
      <c r="C318" s="23">
        <f>(4/26280000)*151.5</f>
        <v>2.3059360730593607E-5</v>
      </c>
      <c r="D318" s="145"/>
      <c r="E318" s="78" t="s">
        <v>181</v>
      </c>
      <c r="F318" s="25"/>
      <c r="G318" s="24"/>
      <c r="H318" s="19"/>
      <c r="I318" s="25"/>
      <c r="J318" s="55"/>
      <c r="K318" s="55"/>
      <c r="L318" s="2"/>
      <c r="N318" s="78"/>
    </row>
    <row r="319" spans="1:14" x14ac:dyDescent="0.25">
      <c r="A319" s="4" t="s">
        <v>134</v>
      </c>
      <c r="B319" s="4" t="s">
        <v>125</v>
      </c>
      <c r="C319" s="23">
        <f>($C$232/1126.5 )*C315</f>
        <v>2.1041666666666667E-2</v>
      </c>
      <c r="D319" s="146"/>
      <c r="E319" s="78" t="s">
        <v>135</v>
      </c>
      <c r="F319" s="25"/>
      <c r="G319" s="24"/>
      <c r="H319" s="19"/>
      <c r="I319" s="25"/>
      <c r="J319" s="55"/>
      <c r="K319" s="55"/>
      <c r="L319" s="2"/>
      <c r="M319" s="78"/>
      <c r="N319" s="161"/>
    </row>
    <row r="320" spans="1:14" x14ac:dyDescent="0.25">
      <c r="A320" s="4" t="s">
        <v>286</v>
      </c>
      <c r="B320" s="4" t="s">
        <v>33</v>
      </c>
      <c r="C320" s="78"/>
      <c r="D320" s="167">
        <v>3.3000000000000002E-2</v>
      </c>
      <c r="E320" s="78" t="s">
        <v>467</v>
      </c>
      <c r="F320" s="24"/>
      <c r="G320" s="24"/>
      <c r="H320" s="19"/>
      <c r="I320" s="19"/>
      <c r="J320" s="28"/>
      <c r="K320" s="28"/>
      <c r="L320" s="2"/>
      <c r="N320" s="78"/>
    </row>
    <row r="321" spans="1:14" ht="27.6" x14ac:dyDescent="0.25">
      <c r="A321" s="4" t="s">
        <v>288</v>
      </c>
      <c r="B321" s="4" t="s">
        <v>33</v>
      </c>
      <c r="C321" s="165">
        <f>Allokationen!E36</f>
        <v>9.329516395326511</v>
      </c>
      <c r="D321" s="78"/>
      <c r="E321" s="78" t="s">
        <v>506</v>
      </c>
      <c r="F321" s="24"/>
      <c r="G321" s="24"/>
      <c r="H321" s="19"/>
      <c r="I321" s="19"/>
      <c r="J321" s="28"/>
      <c r="K321" s="28"/>
      <c r="L321" s="2"/>
      <c r="N321" s="78"/>
    </row>
    <row r="322" spans="1:14" ht="27.6" x14ac:dyDescent="0.25">
      <c r="A322" s="4" t="s">
        <v>290</v>
      </c>
      <c r="B322" s="4" t="s">
        <v>33</v>
      </c>
      <c r="C322" s="165">
        <f>Allokationen!F36</f>
        <v>25.805045348775455</v>
      </c>
      <c r="D322" s="78"/>
      <c r="E322" s="78" t="s">
        <v>289</v>
      </c>
      <c r="F322" s="24"/>
      <c r="G322" s="24"/>
      <c r="H322" s="19"/>
      <c r="I322" s="19"/>
      <c r="J322" s="28"/>
      <c r="K322" s="28"/>
      <c r="L322" s="2"/>
      <c r="N322" s="78"/>
    </row>
    <row r="323" spans="1:14" ht="165.6" x14ac:dyDescent="0.25">
      <c r="A323" s="4" t="s">
        <v>291</v>
      </c>
      <c r="B323" s="4" t="s">
        <v>188</v>
      </c>
      <c r="C323" s="73">
        <f>300*25.2</f>
        <v>7560</v>
      </c>
      <c r="D323" s="34"/>
      <c r="E323" s="78" t="s">
        <v>507</v>
      </c>
      <c r="F323" s="24"/>
      <c r="G323" s="24"/>
      <c r="H323" s="19"/>
      <c r="I323" s="19"/>
      <c r="J323" s="28"/>
      <c r="K323" s="28"/>
      <c r="L323" s="2"/>
      <c r="N323" s="78" t="s">
        <v>190</v>
      </c>
    </row>
    <row r="324" spans="1:14" ht="41.4" x14ac:dyDescent="0.25">
      <c r="A324" s="4" t="s">
        <v>293</v>
      </c>
      <c r="B324" s="4" t="s">
        <v>350</v>
      </c>
      <c r="C324" s="73">
        <f>((80*1+15*2+3*3+2*4)/100)*15.5</f>
        <v>19.684999999999999</v>
      </c>
      <c r="D324" s="34"/>
      <c r="E324" s="78" t="s">
        <v>294</v>
      </c>
      <c r="F324" s="24"/>
      <c r="G324" s="24"/>
      <c r="H324" s="19"/>
      <c r="I324" s="19"/>
      <c r="J324" s="28"/>
      <c r="K324" s="28"/>
      <c r="L324" s="2"/>
      <c r="M324" s="78"/>
      <c r="N324" s="78"/>
    </row>
    <row r="325" spans="1:14" ht="27.6" x14ac:dyDescent="0.25">
      <c r="A325" s="4" t="s">
        <v>86</v>
      </c>
      <c r="B325" s="4" t="s">
        <v>295</v>
      </c>
      <c r="C325" s="73">
        <v>450</v>
      </c>
      <c r="D325" s="34"/>
      <c r="E325" s="78" t="s">
        <v>508</v>
      </c>
      <c r="F325" s="24"/>
      <c r="G325" s="24"/>
      <c r="H325" s="19"/>
      <c r="I325" s="19"/>
      <c r="J325" s="28"/>
      <c r="K325" s="28"/>
      <c r="L325" s="2"/>
      <c r="N325" s="78"/>
    </row>
    <row r="326" spans="1:14" x14ac:dyDescent="0.25">
      <c r="A326" s="4" t="s">
        <v>297</v>
      </c>
      <c r="B326" s="4" t="s">
        <v>295</v>
      </c>
      <c r="C326" s="73">
        <v>375</v>
      </c>
      <c r="D326" s="34"/>
      <c r="E326" s="78" t="s">
        <v>509</v>
      </c>
      <c r="F326" s="24"/>
      <c r="G326" s="24"/>
      <c r="H326" s="19"/>
      <c r="I326" s="19"/>
      <c r="J326" s="28"/>
      <c r="K326" s="28"/>
      <c r="L326" s="2"/>
      <c r="N326" s="78"/>
    </row>
    <row r="327" spans="1:14" ht="124.2" x14ac:dyDescent="0.25">
      <c r="A327" s="4" t="s">
        <v>299</v>
      </c>
      <c r="B327" s="4" t="s">
        <v>144</v>
      </c>
      <c r="C327" s="73">
        <f>124/10</f>
        <v>12.4</v>
      </c>
      <c r="D327" s="34"/>
      <c r="E327" s="78" t="s">
        <v>300</v>
      </c>
      <c r="F327" s="24"/>
      <c r="G327" s="24"/>
      <c r="H327" s="19"/>
      <c r="I327" s="19"/>
      <c r="J327" s="28"/>
      <c r="K327" s="28"/>
      <c r="L327" s="2"/>
      <c r="M327" s="78" t="s">
        <v>301</v>
      </c>
      <c r="N327" s="78" t="s">
        <v>301</v>
      </c>
    </row>
    <row r="328" spans="1:14" ht="55.2" x14ac:dyDescent="0.25">
      <c r="A328" s="2" t="s">
        <v>302</v>
      </c>
      <c r="B328" s="4" t="s">
        <v>144</v>
      </c>
      <c r="C328" s="34">
        <f>1/(8*21*2)*1000</f>
        <v>2.9761904761904758</v>
      </c>
      <c r="D328" s="34"/>
      <c r="E328" s="78" t="s">
        <v>510</v>
      </c>
      <c r="F328" s="24"/>
      <c r="G328" s="24"/>
      <c r="H328" s="19"/>
      <c r="I328" s="19"/>
      <c r="J328" s="28"/>
      <c r="K328" s="28"/>
      <c r="L328" s="2"/>
      <c r="N328" s="78"/>
    </row>
    <row r="329" spans="1:14" x14ac:dyDescent="0.25">
      <c r="A329" s="2" t="s">
        <v>304</v>
      </c>
      <c r="B329" s="4" t="s">
        <v>144</v>
      </c>
      <c r="C329" s="34">
        <f>1/(8*21*2)*1000</f>
        <v>2.9761904761904758</v>
      </c>
      <c r="D329" s="34"/>
      <c r="E329" s="78"/>
      <c r="F329" s="24"/>
      <c r="G329" s="24"/>
      <c r="H329" s="19"/>
      <c r="I329" s="19"/>
      <c r="J329" s="28"/>
      <c r="K329" s="28"/>
      <c r="L329" s="2"/>
      <c r="N329" s="78" t="s">
        <v>352</v>
      </c>
    </row>
    <row r="330" spans="1:14" x14ac:dyDescent="0.25">
      <c r="A330" s="2"/>
      <c r="B330" s="4"/>
      <c r="C330" s="73"/>
      <c r="D330" s="34"/>
      <c r="E330" s="78"/>
      <c r="F330" s="24"/>
      <c r="G330" s="24"/>
      <c r="H330" s="19"/>
      <c r="I330" s="19"/>
      <c r="J330" s="28"/>
      <c r="K330" s="28"/>
      <c r="L330" s="2"/>
      <c r="N330" s="78"/>
    </row>
    <row r="331" spans="1:14" x14ac:dyDescent="0.25">
      <c r="A331" s="71" t="s">
        <v>35</v>
      </c>
      <c r="B331" s="4"/>
      <c r="C331" s="73"/>
      <c r="D331" s="25"/>
      <c r="E331" s="78"/>
      <c r="F331" s="24"/>
      <c r="G331" s="24"/>
      <c r="H331" s="19"/>
      <c r="I331" s="19"/>
      <c r="J331" s="28"/>
      <c r="K331" s="28"/>
      <c r="L331" s="2"/>
      <c r="N331" s="78"/>
    </row>
    <row r="332" spans="1:14" x14ac:dyDescent="0.25">
      <c r="A332" s="2" t="s">
        <v>511</v>
      </c>
      <c r="B332" s="4" t="s">
        <v>37</v>
      </c>
      <c r="C332" s="73">
        <v>1</v>
      </c>
      <c r="D332" s="25"/>
      <c r="E332" s="78"/>
      <c r="F332" s="24"/>
      <c r="G332" s="24" t="str">
        <f t="shared" ref="G332" si="10">IF($F332="","",IF($F332="Gemessen","sehr gut",IF($F332="Berechnet","gut",IF($F332="Literaturwert","befriedigend",IF($F332="Geschätzt","schlecht",IF($F332="Keine Angabe","nicht erhoben",IF($F332="Datenbank (Gabi) | NUR UMSICHT","GaBi",IF($F332="Datenbank (ecoinvent) | NUR UMSICHT","ecoinvent"))))))))</f>
        <v/>
      </c>
      <c r="H332" s="19"/>
      <c r="I332" s="19"/>
      <c r="J332" s="28"/>
      <c r="K332" s="28"/>
      <c r="L332" s="2"/>
      <c r="N332" s="78"/>
    </row>
    <row r="333" spans="1:14" ht="41.4" x14ac:dyDescent="0.25">
      <c r="A333" s="2" t="s">
        <v>306</v>
      </c>
      <c r="B333" s="4"/>
      <c r="C333" s="73">
        <f>C324</f>
        <v>19.684999999999999</v>
      </c>
      <c r="D333" s="25"/>
      <c r="E333" s="78"/>
      <c r="F333" s="24"/>
      <c r="G333" s="24"/>
      <c r="H333" s="19"/>
      <c r="I333" s="19"/>
      <c r="J333" s="28"/>
      <c r="K333" s="28"/>
      <c r="L333" s="2"/>
      <c r="N333" s="78" t="s">
        <v>253</v>
      </c>
    </row>
    <row r="334" spans="1:14" ht="41.4" x14ac:dyDescent="0.25">
      <c r="A334" s="4" t="s">
        <v>312</v>
      </c>
      <c r="B334" s="4" t="s">
        <v>144</v>
      </c>
      <c r="C334" s="23">
        <f>C327</f>
        <v>12.4</v>
      </c>
      <c r="D334" s="34"/>
      <c r="E334" s="78" t="s">
        <v>311</v>
      </c>
      <c r="F334" s="24"/>
      <c r="G334" s="24"/>
      <c r="H334" s="19"/>
      <c r="I334" s="19"/>
      <c r="J334" s="28"/>
      <c r="K334" s="28"/>
      <c r="L334" s="2"/>
      <c r="N334" s="78" t="s">
        <v>253</v>
      </c>
    </row>
    <row r="335" spans="1:14" ht="28.2" thickBot="1" x14ac:dyDescent="0.3">
      <c r="A335" s="4" t="s">
        <v>255</v>
      </c>
      <c r="B335" s="4" t="s">
        <v>156</v>
      </c>
      <c r="C335" s="23">
        <f>0.1* (((C325/1.028)/1000)*850+((C326/0.982)/1000)*650)</f>
        <v>62.02996346691814</v>
      </c>
      <c r="D335" s="34"/>
      <c r="E335" s="78" t="s">
        <v>475</v>
      </c>
      <c r="F335" s="175"/>
      <c r="G335" s="24"/>
      <c r="H335" s="23"/>
      <c r="I335" s="23"/>
      <c r="J335" s="176"/>
      <c r="K335" s="176"/>
      <c r="L335" s="113"/>
      <c r="M335" s="78"/>
      <c r="N335" s="177"/>
    </row>
    <row r="336" spans="1:14" x14ac:dyDescent="0.25">
      <c r="A336" s="4"/>
      <c r="B336" s="4"/>
      <c r="C336" s="23"/>
      <c r="D336" s="34"/>
      <c r="E336" s="78"/>
      <c r="F336" s="24"/>
      <c r="G336" s="24"/>
      <c r="H336" s="19"/>
      <c r="I336" s="19"/>
      <c r="J336" s="28"/>
      <c r="K336" s="28"/>
      <c r="L336" s="2"/>
      <c r="N336" s="78"/>
    </row>
    <row r="337" spans="1:14" x14ac:dyDescent="0.25">
      <c r="A337" s="71" t="s">
        <v>259</v>
      </c>
      <c r="B337" s="3"/>
      <c r="C337" s="73"/>
      <c r="D337" s="25"/>
      <c r="E337" s="78"/>
      <c r="F337" s="24"/>
      <c r="G337" s="24"/>
      <c r="H337" s="19"/>
      <c r="I337" s="19"/>
      <c r="J337" s="28"/>
      <c r="K337" s="28"/>
      <c r="L337" s="2"/>
      <c r="N337" s="78"/>
    </row>
    <row r="338" spans="1:14" x14ac:dyDescent="0.25">
      <c r="A338" s="2" t="s">
        <v>314</v>
      </c>
      <c r="B338" s="3"/>
      <c r="C338" s="73"/>
      <c r="D338" s="25"/>
      <c r="E338" s="78"/>
      <c r="F338" s="24"/>
      <c r="G338" s="24"/>
      <c r="H338" s="19"/>
      <c r="I338" s="19"/>
      <c r="J338" s="28"/>
      <c r="K338" s="28"/>
      <c r="L338" s="2"/>
      <c r="N338" s="78"/>
    </row>
    <row r="339" spans="1:14" x14ac:dyDescent="0.25">
      <c r="A339" s="2" t="s">
        <v>315</v>
      </c>
      <c r="B339" s="3"/>
      <c r="C339" s="73"/>
      <c r="D339" s="25"/>
      <c r="E339" s="78"/>
      <c r="F339" s="24"/>
      <c r="G339" s="24"/>
      <c r="H339" s="19"/>
      <c r="I339" s="19"/>
      <c r="J339" s="28"/>
      <c r="K339" s="28"/>
      <c r="L339" s="2"/>
      <c r="N339" s="78"/>
    </row>
    <row r="340" spans="1:14" x14ac:dyDescent="0.25">
      <c r="A340" s="2" t="s">
        <v>316</v>
      </c>
      <c r="B340" s="3"/>
      <c r="C340" s="73"/>
      <c r="D340" s="25"/>
      <c r="E340" s="78"/>
      <c r="F340" s="24"/>
      <c r="G340" s="24"/>
      <c r="H340" s="19"/>
      <c r="I340" s="19"/>
      <c r="J340" s="28"/>
      <c r="K340" s="28"/>
      <c r="L340" s="2"/>
      <c r="N340" s="78"/>
    </row>
    <row r="341" spans="1:14" x14ac:dyDescent="0.25">
      <c r="A341" s="2" t="s">
        <v>317</v>
      </c>
      <c r="B341" s="3"/>
      <c r="C341" s="73"/>
      <c r="D341" s="25"/>
      <c r="E341" s="78"/>
      <c r="F341" s="24"/>
      <c r="G341" s="24"/>
      <c r="H341" s="19"/>
      <c r="I341" s="19"/>
      <c r="J341" s="28"/>
      <c r="K341" s="28"/>
      <c r="L341" s="2"/>
      <c r="N341" s="78"/>
    </row>
    <row r="342" spans="1:14" ht="41.4" x14ac:dyDescent="0.25">
      <c r="A342" s="70" t="s">
        <v>318</v>
      </c>
      <c r="B342" s="4"/>
      <c r="C342" s="73"/>
      <c r="D342" s="25"/>
      <c r="E342" s="78" t="s">
        <v>319</v>
      </c>
      <c r="F342" s="24"/>
      <c r="G342" s="24"/>
      <c r="H342" s="19"/>
      <c r="I342" s="19"/>
      <c r="J342" s="14"/>
      <c r="K342" s="14"/>
      <c r="L342" s="2"/>
      <c r="N342" s="78"/>
    </row>
    <row r="343" spans="1:14" s="6" customFormat="1" x14ac:dyDescent="0.25">
      <c r="A343" s="4" t="s">
        <v>320</v>
      </c>
      <c r="B343" s="3"/>
      <c r="C343" s="73"/>
      <c r="D343" s="33"/>
      <c r="E343" s="78"/>
      <c r="F343" s="24"/>
      <c r="G343" s="24"/>
      <c r="H343" s="19"/>
      <c r="I343" s="19"/>
      <c r="J343" s="49"/>
      <c r="K343" s="49"/>
      <c r="L343" s="2"/>
      <c r="N343" s="78"/>
    </row>
    <row r="344" spans="1:14" x14ac:dyDescent="0.25">
      <c r="A344" s="4"/>
      <c r="B344" s="4"/>
      <c r="C344" s="23"/>
      <c r="D344" s="34"/>
      <c r="E344" s="78"/>
      <c r="F344" s="24"/>
      <c r="G344" s="24"/>
      <c r="H344" s="19"/>
      <c r="I344" s="19"/>
      <c r="J344" s="28"/>
      <c r="K344" s="28"/>
      <c r="L344" s="2"/>
      <c r="N344" s="78"/>
    </row>
    <row r="345" spans="1:14" ht="41.4" x14ac:dyDescent="0.25">
      <c r="A345" s="10" t="s">
        <v>321</v>
      </c>
      <c r="B345" s="11" t="s">
        <v>10</v>
      </c>
      <c r="C345" s="11" t="s">
        <v>1</v>
      </c>
      <c r="D345" s="11" t="s">
        <v>11</v>
      </c>
      <c r="E345" s="10" t="s">
        <v>12</v>
      </c>
      <c r="F345" s="35" t="s">
        <v>13</v>
      </c>
      <c r="G345" s="35" t="s">
        <v>14</v>
      </c>
      <c r="H345" s="35" t="s">
        <v>15</v>
      </c>
      <c r="I345" s="18" t="s">
        <v>16</v>
      </c>
      <c r="J345" s="18" t="s">
        <v>17</v>
      </c>
      <c r="K345" s="18" t="s">
        <v>18</v>
      </c>
      <c r="L345" s="11" t="s">
        <v>19</v>
      </c>
      <c r="N345" s="78"/>
    </row>
    <row r="346" spans="1:14" s="86" customFormat="1" ht="35.25" customHeight="1" x14ac:dyDescent="0.25">
      <c r="A346" s="66" t="s">
        <v>177</v>
      </c>
      <c r="B346" s="87"/>
      <c r="C346" s="216" t="s">
        <v>512</v>
      </c>
      <c r="D346" s="217"/>
      <c r="E346" s="218"/>
      <c r="F346" s="95"/>
      <c r="G346" s="95"/>
      <c r="H346" s="95"/>
      <c r="I346" s="96"/>
      <c r="J346" s="96"/>
      <c r="K346" s="96"/>
      <c r="L346" s="87"/>
      <c r="M346" s="1"/>
      <c r="N346" s="78"/>
    </row>
    <row r="347" spans="1:14" x14ac:dyDescent="0.25">
      <c r="A347" s="66" t="s">
        <v>22</v>
      </c>
      <c r="B347" s="11"/>
      <c r="C347" s="11"/>
      <c r="D347" s="11"/>
      <c r="E347" s="10"/>
      <c r="F347" s="35"/>
      <c r="G347" s="35"/>
      <c r="H347" s="35"/>
      <c r="I347" s="18"/>
      <c r="J347" s="18"/>
      <c r="K347" s="18"/>
      <c r="L347" s="11"/>
      <c r="N347" s="78"/>
    </row>
    <row r="348" spans="1:14" s="86" customFormat="1" ht="41.4" x14ac:dyDescent="0.25">
      <c r="A348" s="66" t="s">
        <v>25</v>
      </c>
      <c r="B348" s="87"/>
      <c r="C348" s="87" t="s">
        <v>513</v>
      </c>
      <c r="D348" s="87"/>
      <c r="E348" s="66" t="s">
        <v>324</v>
      </c>
      <c r="F348" s="95"/>
      <c r="G348" s="95"/>
      <c r="H348" s="95"/>
      <c r="I348" s="96"/>
      <c r="J348" s="96"/>
      <c r="K348" s="96"/>
      <c r="L348" s="87"/>
      <c r="M348" s="1"/>
      <c r="N348" s="78"/>
    </row>
    <row r="349" spans="1:14" x14ac:dyDescent="0.25">
      <c r="A349" s="46" t="s">
        <v>26</v>
      </c>
      <c r="B349" s="15"/>
      <c r="C349" s="23"/>
      <c r="D349" s="34"/>
      <c r="E349" s="78"/>
      <c r="F349" s="24"/>
      <c r="G349" s="24" t="str">
        <f t="shared" ref="G349" si="11">IF($F349="","",IF($F349="Gemessen","sehr gut",IF($F349="Berechnet","gut",IF($F349="Literaturwert","befriedigend",IF($F349="Geschätzt","schlecht",IF($F349="Keine Angabe","nicht erhoben",IF($F349="Datenbank (Gabi) | NUR UMSICHT","GaBi",IF($F349="Datenbank (ecoinvent) | NUR UMSICHT","ecoinvent"))))))))</f>
        <v/>
      </c>
      <c r="H349" s="19"/>
      <c r="I349" s="19"/>
      <c r="J349" s="28"/>
      <c r="K349" s="28"/>
      <c r="L349" s="2"/>
      <c r="N349" s="78"/>
    </row>
    <row r="350" spans="1:14" x14ac:dyDescent="0.25">
      <c r="A350" s="2" t="s">
        <v>511</v>
      </c>
      <c r="B350" s="4" t="s">
        <v>39</v>
      </c>
      <c r="C350" s="23">
        <v>1</v>
      </c>
      <c r="D350" s="34"/>
      <c r="E350" s="78"/>
      <c r="F350" s="24"/>
      <c r="G350" s="24"/>
      <c r="H350" s="19"/>
      <c r="I350" s="19"/>
      <c r="J350" s="28"/>
      <c r="K350" s="28"/>
      <c r="L350" s="2"/>
      <c r="N350" s="78"/>
    </row>
    <row r="351" spans="1:14" x14ac:dyDescent="0.25">
      <c r="A351" s="2" t="s">
        <v>514</v>
      </c>
      <c r="B351" s="4" t="s">
        <v>39</v>
      </c>
      <c r="C351" s="23">
        <v>1</v>
      </c>
      <c r="D351" s="34"/>
      <c r="E351" s="78"/>
      <c r="F351" s="24"/>
      <c r="G351" s="24"/>
      <c r="H351" s="19"/>
      <c r="I351" s="19"/>
      <c r="J351" s="28"/>
      <c r="K351" s="28"/>
      <c r="L351" s="2"/>
      <c r="N351" s="78"/>
    </row>
    <row r="352" spans="1:14" x14ac:dyDescent="0.25">
      <c r="A352" s="2" t="s">
        <v>486</v>
      </c>
      <c r="B352" s="4" t="s">
        <v>39</v>
      </c>
      <c r="C352" s="23">
        <v>1</v>
      </c>
      <c r="D352" s="34"/>
      <c r="E352" s="78"/>
      <c r="F352" s="24"/>
      <c r="G352" s="24"/>
      <c r="H352" s="19"/>
      <c r="I352" s="19"/>
      <c r="J352" s="28"/>
      <c r="K352" s="28"/>
      <c r="L352" s="2"/>
      <c r="N352" s="78"/>
    </row>
    <row r="353" spans="1:14" ht="29.4" x14ac:dyDescent="0.25">
      <c r="A353" s="4" t="s">
        <v>130</v>
      </c>
      <c r="B353" s="4" t="s">
        <v>131</v>
      </c>
      <c r="C353" s="23">
        <f>(20/26280000)*70</f>
        <v>5.3272450532724505E-5</v>
      </c>
      <c r="D353" s="145"/>
      <c r="E353" s="78" t="s">
        <v>325</v>
      </c>
      <c r="F353" s="25"/>
      <c r="G353" s="24"/>
      <c r="H353" s="19"/>
      <c r="I353" s="25"/>
      <c r="J353" s="55"/>
      <c r="K353" s="55"/>
      <c r="L353" s="2"/>
      <c r="N353" s="78"/>
    </row>
    <row r="354" spans="1:14" x14ac:dyDescent="0.25">
      <c r="A354" s="4" t="s">
        <v>134</v>
      </c>
      <c r="B354" s="4" t="s">
        <v>125</v>
      </c>
      <c r="C354" s="23">
        <f>($C$232/1126.5 )*70</f>
        <v>9.7222222222222224E-3</v>
      </c>
      <c r="D354" s="146"/>
      <c r="E354" s="78" t="s">
        <v>135</v>
      </c>
      <c r="F354" s="25"/>
      <c r="G354" s="24"/>
      <c r="H354" s="19"/>
      <c r="I354" s="25"/>
      <c r="J354" s="55"/>
      <c r="K354" s="55"/>
      <c r="L354" s="2"/>
      <c r="M354" s="78"/>
      <c r="N354" s="161"/>
    </row>
    <row r="355" spans="1:14" ht="27.6" x14ac:dyDescent="0.25">
      <c r="A355" s="2" t="s">
        <v>391</v>
      </c>
      <c r="B355" s="4" t="s">
        <v>33</v>
      </c>
      <c r="C355" s="165">
        <f>Allokationen!E37</f>
        <v>6.468521574211552</v>
      </c>
      <c r="D355" s="168"/>
      <c r="E355" s="78" t="s">
        <v>137</v>
      </c>
      <c r="F355" s="24"/>
      <c r="G355" s="24"/>
      <c r="H355" s="19"/>
      <c r="I355" s="19"/>
      <c r="J355" s="14"/>
      <c r="K355" s="14"/>
      <c r="L355" s="2"/>
      <c r="N355" s="78"/>
    </row>
    <row r="356" spans="1:14" ht="27.6" x14ac:dyDescent="0.25">
      <c r="A356" s="70" t="s">
        <v>138</v>
      </c>
      <c r="B356" s="4" t="s">
        <v>33</v>
      </c>
      <c r="C356" s="165">
        <f>Allokationen!F37</f>
        <v>17.891655418031952</v>
      </c>
      <c r="D356" s="168"/>
      <c r="E356" s="78" t="s">
        <v>137</v>
      </c>
      <c r="F356" s="24"/>
      <c r="G356" s="24"/>
      <c r="H356" s="19"/>
      <c r="I356" s="19"/>
      <c r="J356" s="14"/>
      <c r="K356" s="14"/>
      <c r="L356" s="2"/>
      <c r="N356" s="78"/>
    </row>
    <row r="357" spans="1:14" s="6" customFormat="1" ht="55.2" x14ac:dyDescent="0.25">
      <c r="A357" s="4" t="s">
        <v>140</v>
      </c>
      <c r="B357" s="3" t="s">
        <v>141</v>
      </c>
      <c r="C357" s="73">
        <f>70/2100</f>
        <v>3.3333333333333333E-2</v>
      </c>
      <c r="D357" s="33"/>
      <c r="E357" s="78" t="s">
        <v>327</v>
      </c>
      <c r="F357" s="24"/>
      <c r="G357" s="24"/>
      <c r="H357" s="19"/>
      <c r="I357" s="19"/>
      <c r="J357" s="49"/>
      <c r="K357" s="49"/>
      <c r="L357" s="2"/>
      <c r="N357" s="78"/>
    </row>
    <row r="358" spans="1:14" ht="69" x14ac:dyDescent="0.25">
      <c r="A358" s="2" t="s">
        <v>151</v>
      </c>
      <c r="B358" s="15" t="s">
        <v>144</v>
      </c>
      <c r="C358" s="23">
        <f>2*(770*0.00526316)</f>
        <v>8.1052663999999996</v>
      </c>
      <c r="D358" s="33"/>
      <c r="E358" s="78" t="s">
        <v>152</v>
      </c>
      <c r="F358" s="24"/>
      <c r="G358" s="24" t="str">
        <f t="shared" ref="G358" si="12">IF($F358="","",IF($F358="Gemessen","sehr gut",IF($F358="Berechnet","gut",IF($F358="Literaturwert","befriedigend",IF($F358="Geschätzt","schlecht",IF($F358="Keine Angabe","nicht erhoben",IF($F358="Datenbank (Gabi) | NUR UMSICHT","GaBi",IF($F358="Datenbank (ecoinvent) | NUR UMSICHT","ecoinvent"))))))))</f>
        <v/>
      </c>
      <c r="H358" s="19"/>
      <c r="I358" s="19"/>
      <c r="J358" s="28"/>
      <c r="K358" s="28"/>
      <c r="L358" s="2"/>
      <c r="N358" s="78" t="s">
        <v>153</v>
      </c>
    </row>
    <row r="359" spans="1:14" x14ac:dyDescent="0.25">
      <c r="A359" s="2"/>
      <c r="B359" s="15"/>
      <c r="C359" s="73"/>
      <c r="D359" s="25"/>
      <c r="E359" s="78"/>
      <c r="F359" s="24"/>
      <c r="G359" s="24" t="str">
        <f t="shared" ref="G359" si="13">IF($F359="","",IF($F359="Gemessen","sehr gut",IF($F359="Berechnet","gut",IF($F359="Literaturwert","befriedigend",IF($F359="Geschätzt","schlecht",IF($F359="Keine Angabe","nicht erhoben",IF($F359="Datenbank (Gabi) | NUR UMSICHT","GaBi",IF($F359="Datenbank (ecoinvent) | NUR UMSICHT","ecoinvent"))))))))</f>
        <v/>
      </c>
      <c r="H359" s="19"/>
      <c r="I359" s="19"/>
      <c r="J359" s="28"/>
      <c r="K359" s="28"/>
      <c r="L359" s="2"/>
      <c r="N359" s="78"/>
    </row>
    <row r="360" spans="1:14" x14ac:dyDescent="0.25">
      <c r="A360" s="71" t="s">
        <v>35</v>
      </c>
      <c r="B360" s="4"/>
      <c r="C360" s="73"/>
      <c r="D360" s="25"/>
      <c r="E360" s="78"/>
      <c r="F360" s="24"/>
      <c r="G360" s="24"/>
      <c r="H360" s="19"/>
      <c r="I360" s="19"/>
      <c r="J360" s="28"/>
      <c r="K360" s="28"/>
      <c r="L360" s="2"/>
      <c r="N360" s="78"/>
    </row>
    <row r="361" spans="1:14" x14ac:dyDescent="0.25">
      <c r="A361" s="2" t="s">
        <v>108</v>
      </c>
      <c r="B361" s="4" t="s">
        <v>37</v>
      </c>
      <c r="C361" s="73">
        <v>1</v>
      </c>
      <c r="D361" s="25"/>
      <c r="E361" s="78"/>
      <c r="F361" s="24"/>
      <c r="G361" s="24"/>
      <c r="H361" s="19"/>
      <c r="I361" s="19"/>
      <c r="J361" s="28"/>
      <c r="K361" s="28"/>
      <c r="L361" s="2"/>
      <c r="N361" s="78"/>
    </row>
    <row r="362" spans="1:14" x14ac:dyDescent="0.25">
      <c r="A362" s="70" t="s">
        <v>515</v>
      </c>
      <c r="B362" s="4" t="s">
        <v>37</v>
      </c>
      <c r="C362" s="73">
        <v>1</v>
      </c>
      <c r="D362" s="25"/>
      <c r="E362" s="78"/>
      <c r="F362" s="24"/>
      <c r="G362" s="24"/>
      <c r="H362" s="19"/>
      <c r="I362" s="19"/>
      <c r="J362" s="28"/>
      <c r="K362" s="28"/>
      <c r="L362" s="2"/>
      <c r="N362" s="78"/>
    </row>
    <row r="363" spans="1:14" ht="29.4" customHeight="1" x14ac:dyDescent="0.25">
      <c r="A363" s="70" t="s">
        <v>162</v>
      </c>
      <c r="B363" s="4" t="s">
        <v>144</v>
      </c>
      <c r="C363" s="73">
        <f>(70/2100)*200</f>
        <v>6.666666666666667</v>
      </c>
      <c r="D363" s="25"/>
      <c r="E363" s="78"/>
      <c r="F363" s="24"/>
      <c r="G363" s="24"/>
      <c r="H363" s="19"/>
      <c r="I363" s="19"/>
      <c r="J363" s="14"/>
      <c r="K363" s="14"/>
      <c r="L363" s="2"/>
      <c r="N363" s="78" t="s">
        <v>163</v>
      </c>
    </row>
    <row r="364" spans="1:14" ht="27.6" x14ac:dyDescent="0.25">
      <c r="A364" s="2" t="s">
        <v>160</v>
      </c>
      <c r="B364" s="3" t="s">
        <v>144</v>
      </c>
      <c r="C364" s="73">
        <f>C358</f>
        <v>8.1052663999999996</v>
      </c>
      <c r="D364" s="25"/>
      <c r="E364" s="78"/>
      <c r="F364" s="24"/>
      <c r="G364" s="24"/>
      <c r="H364" s="23"/>
      <c r="I364" s="23"/>
      <c r="J364" s="28"/>
      <c r="K364" s="28"/>
      <c r="L364" s="2"/>
      <c r="N364" s="78" t="s">
        <v>161</v>
      </c>
    </row>
    <row r="365" spans="1:14" ht="27.6" x14ac:dyDescent="0.25">
      <c r="A365" s="2" t="s">
        <v>516</v>
      </c>
      <c r="B365" s="3" t="s">
        <v>125</v>
      </c>
      <c r="C365" s="73">
        <v>20</v>
      </c>
      <c r="D365" s="25"/>
      <c r="E365" s="78" t="s">
        <v>517</v>
      </c>
      <c r="F365" s="24"/>
      <c r="G365" s="24"/>
      <c r="H365" s="23"/>
      <c r="I365" s="23"/>
      <c r="J365" s="28"/>
      <c r="K365" s="28"/>
      <c r="L365" s="2"/>
      <c r="N365" s="78"/>
    </row>
    <row r="366" spans="1:14" x14ac:dyDescent="0.25">
      <c r="A366" s="70"/>
      <c r="B366" s="3"/>
      <c r="C366" s="73"/>
      <c r="D366" s="25"/>
      <c r="E366" s="78"/>
      <c r="F366" s="24"/>
      <c r="G366" s="24"/>
      <c r="H366" s="23"/>
      <c r="I366" s="23"/>
      <c r="J366" s="28"/>
      <c r="K366" s="28"/>
      <c r="L366" s="2"/>
      <c r="N366" s="78"/>
    </row>
    <row r="367" spans="1:14" s="6" customFormat="1" x14ac:dyDescent="0.25">
      <c r="A367" s="46" t="s">
        <v>164</v>
      </c>
      <c r="B367" s="3"/>
      <c r="C367" s="73"/>
      <c r="D367" s="33"/>
      <c r="E367" s="78"/>
      <c r="F367" s="24"/>
      <c r="G367" s="24"/>
      <c r="H367" s="19"/>
      <c r="I367" s="19"/>
      <c r="J367" s="49"/>
      <c r="K367" s="49"/>
      <c r="L367" s="2"/>
      <c r="N367" s="78"/>
    </row>
    <row r="368" spans="1:14" s="6" customFormat="1" x14ac:dyDescent="0.25">
      <c r="A368" s="4" t="s">
        <v>166</v>
      </c>
      <c r="B368" s="3"/>
      <c r="C368" s="73"/>
      <c r="D368" s="33"/>
      <c r="E368" s="78" t="s">
        <v>167</v>
      </c>
      <c r="F368" s="24"/>
      <c r="G368" s="24"/>
      <c r="H368" s="19"/>
      <c r="I368" s="19"/>
      <c r="J368" s="49"/>
      <c r="K368" s="49"/>
      <c r="L368" s="2"/>
      <c r="N368" s="78"/>
    </row>
    <row r="369" spans="1:14" s="6" customFormat="1" x14ac:dyDescent="0.25">
      <c r="A369" s="4" t="s">
        <v>168</v>
      </c>
      <c r="B369" s="3"/>
      <c r="C369" s="73"/>
      <c r="D369" s="33"/>
      <c r="E369" s="78" t="s">
        <v>169</v>
      </c>
      <c r="F369" s="24"/>
      <c r="G369" s="24"/>
      <c r="H369" s="19"/>
      <c r="I369" s="19"/>
      <c r="J369" s="49"/>
      <c r="K369" s="49"/>
      <c r="L369" s="2"/>
      <c r="N369" s="78"/>
    </row>
    <row r="370" spans="1:14" s="6" customFormat="1" x14ac:dyDescent="0.25">
      <c r="A370" s="4" t="s">
        <v>170</v>
      </c>
      <c r="B370" s="3"/>
      <c r="C370" s="73"/>
      <c r="D370" s="33"/>
      <c r="E370" s="78"/>
      <c r="F370" s="24"/>
      <c r="G370" s="24"/>
      <c r="H370" s="19"/>
      <c r="I370" s="19"/>
      <c r="J370" s="49"/>
      <c r="K370" s="49"/>
      <c r="L370" s="2"/>
      <c r="N370" s="78"/>
    </row>
    <row r="371" spans="1:14" s="6" customFormat="1" x14ac:dyDescent="0.25">
      <c r="A371" s="4"/>
      <c r="B371" s="3"/>
      <c r="C371" s="99"/>
      <c r="D371" s="33"/>
      <c r="E371" s="78"/>
      <c r="F371" s="24"/>
      <c r="G371" s="24"/>
      <c r="H371" s="19"/>
      <c r="I371" s="19"/>
      <c r="J371" s="49"/>
      <c r="K371" s="49"/>
      <c r="L371" s="2"/>
      <c r="N371" s="78"/>
    </row>
    <row r="372" spans="1:14" x14ac:dyDescent="0.25">
      <c r="A372" s="22" t="s">
        <v>518</v>
      </c>
      <c r="F372" s="1"/>
      <c r="G372" s="1"/>
      <c r="H372" s="1"/>
      <c r="I372" s="1"/>
      <c r="J372" s="1"/>
      <c r="K372" s="1"/>
    </row>
    <row r="373" spans="1:14" x14ac:dyDescent="0.25">
      <c r="A373" s="22"/>
      <c r="F373" s="1"/>
      <c r="G373" s="1"/>
      <c r="H373" s="1"/>
      <c r="I373" s="1"/>
      <c r="J373" s="1"/>
      <c r="K373" s="1"/>
    </row>
    <row r="374" spans="1:14" x14ac:dyDescent="0.25">
      <c r="A374" s="22" t="s">
        <v>519</v>
      </c>
      <c r="F374" s="1"/>
      <c r="G374" s="1"/>
      <c r="H374" s="1"/>
      <c r="I374" s="1"/>
      <c r="J374" s="1"/>
      <c r="K374" s="1"/>
    </row>
    <row r="375" spans="1:14" x14ac:dyDescent="0.25">
      <c r="A375" s="22" t="s">
        <v>520</v>
      </c>
      <c r="F375" s="1"/>
      <c r="G375" s="1"/>
      <c r="H375" s="1"/>
      <c r="I375" s="1"/>
      <c r="J375" s="1"/>
      <c r="K375" s="1"/>
    </row>
    <row r="376" spans="1:14" x14ac:dyDescent="0.25">
      <c r="A376" s="22" t="s">
        <v>521</v>
      </c>
      <c r="F376" s="1"/>
      <c r="G376" s="1"/>
      <c r="H376" s="1"/>
      <c r="I376" s="1"/>
      <c r="J376" s="1"/>
      <c r="K376" s="1"/>
    </row>
    <row r="377" spans="1:14" x14ac:dyDescent="0.25">
      <c r="A377" s="22" t="s">
        <v>522</v>
      </c>
      <c r="F377" s="1"/>
      <c r="G377" s="1"/>
      <c r="H377" s="1"/>
      <c r="I377" s="1"/>
      <c r="J377" s="1"/>
      <c r="K377" s="1"/>
    </row>
    <row r="378" spans="1:14" x14ac:dyDescent="0.25">
      <c r="A378" s="22" t="s">
        <v>523</v>
      </c>
      <c r="F378" s="1"/>
      <c r="G378" s="1"/>
      <c r="H378" s="1"/>
      <c r="I378" s="1"/>
      <c r="J378" s="1"/>
      <c r="K378" s="1"/>
    </row>
    <row r="379" spans="1:14" x14ac:dyDescent="0.25">
      <c r="A379" s="22" t="s">
        <v>524</v>
      </c>
      <c r="F379" s="1"/>
      <c r="G379" s="1"/>
      <c r="H379" s="1"/>
      <c r="I379" s="1"/>
      <c r="J379" s="1"/>
      <c r="K379" s="1"/>
    </row>
    <row r="380" spans="1:14" x14ac:dyDescent="0.25">
      <c r="A380" s="22"/>
      <c r="F380" s="1"/>
      <c r="G380" s="1"/>
      <c r="H380" s="1"/>
      <c r="I380" s="1"/>
      <c r="J380" s="1"/>
      <c r="K380" s="1"/>
    </row>
    <row r="381" spans="1:14" x14ac:dyDescent="0.25">
      <c r="A381" s="22"/>
      <c r="F381" s="1"/>
      <c r="G381" s="1"/>
      <c r="H381" s="1"/>
      <c r="I381" s="1"/>
      <c r="J381" s="1"/>
      <c r="K381" s="1"/>
    </row>
    <row r="382" spans="1:14" x14ac:dyDescent="0.25">
      <c r="A382" s="45"/>
      <c r="F382" s="1"/>
      <c r="G382" s="1"/>
      <c r="H382" s="1"/>
      <c r="I382" s="1"/>
      <c r="J382" s="1"/>
      <c r="K382" s="1"/>
    </row>
    <row r="383" spans="1:14" x14ac:dyDescent="0.25">
      <c r="A383" s="45"/>
      <c r="F383" s="1"/>
      <c r="G383" s="1"/>
      <c r="H383" s="1"/>
      <c r="I383" s="1"/>
      <c r="J383" s="1"/>
      <c r="K383" s="1"/>
    </row>
    <row r="384" spans="1:14" x14ac:dyDescent="0.25">
      <c r="F384" s="1"/>
      <c r="G384" s="1"/>
      <c r="H384" s="1"/>
      <c r="I384" s="1"/>
      <c r="J384" s="1"/>
      <c r="K384" s="1"/>
    </row>
    <row r="385" spans="6:11" x14ac:dyDescent="0.25">
      <c r="F385" s="1"/>
      <c r="G385" s="1"/>
      <c r="H385" s="1"/>
      <c r="I385" s="1"/>
      <c r="J385" s="1"/>
      <c r="K385" s="1"/>
    </row>
    <row r="386" spans="6:11" x14ac:dyDescent="0.25">
      <c r="F386" s="1"/>
      <c r="G386" s="1"/>
      <c r="H386" s="1"/>
      <c r="I386" s="1"/>
      <c r="J386" s="1"/>
      <c r="K386" s="1"/>
    </row>
    <row r="387" spans="6:11" x14ac:dyDescent="0.25">
      <c r="F387" s="1"/>
      <c r="G387" s="1"/>
      <c r="H387" s="1"/>
      <c r="I387" s="1"/>
      <c r="J387" s="1"/>
      <c r="K387" s="1"/>
    </row>
    <row r="388" spans="6:11" x14ac:dyDescent="0.25">
      <c r="F388" s="1"/>
      <c r="G388" s="1"/>
      <c r="H388" s="1"/>
      <c r="I388" s="1"/>
      <c r="J388" s="1"/>
      <c r="K388" s="1"/>
    </row>
    <row r="389" spans="6:11" x14ac:dyDescent="0.25">
      <c r="F389" s="1"/>
      <c r="G389" s="1"/>
      <c r="H389" s="1"/>
      <c r="I389" s="1"/>
      <c r="J389" s="1"/>
      <c r="K389" s="1"/>
    </row>
    <row r="390" spans="6:11" x14ac:dyDescent="0.25">
      <c r="F390" s="1"/>
      <c r="G390" s="1"/>
      <c r="H390" s="1"/>
      <c r="I390" s="1"/>
      <c r="J390" s="1"/>
      <c r="K390" s="1"/>
    </row>
    <row r="391" spans="6:11" x14ac:dyDescent="0.25">
      <c r="F391" s="1"/>
      <c r="G391" s="1"/>
      <c r="H391" s="1"/>
      <c r="I391" s="1"/>
      <c r="J391" s="1"/>
      <c r="K391" s="1"/>
    </row>
    <row r="392" spans="6:11" x14ac:dyDescent="0.25">
      <c r="F392" s="1"/>
      <c r="G392" s="1"/>
      <c r="H392" s="1"/>
      <c r="I392" s="1"/>
      <c r="J392" s="1"/>
      <c r="K392" s="1"/>
    </row>
    <row r="393" spans="6:11" x14ac:dyDescent="0.25">
      <c r="F393" s="1"/>
      <c r="G393" s="1"/>
      <c r="H393" s="1"/>
      <c r="I393" s="1"/>
      <c r="J393" s="1"/>
      <c r="K393" s="1"/>
    </row>
    <row r="394" spans="6:11" x14ac:dyDescent="0.25">
      <c r="F394" s="1"/>
      <c r="G394" s="1"/>
      <c r="H394" s="1"/>
      <c r="I394" s="1"/>
      <c r="J394" s="1"/>
      <c r="K394" s="1"/>
    </row>
    <row r="395" spans="6:11" x14ac:dyDescent="0.25">
      <c r="F395" s="1"/>
      <c r="G395" s="1"/>
      <c r="H395" s="1"/>
      <c r="I395" s="1"/>
      <c r="J395" s="1"/>
      <c r="K395" s="1"/>
    </row>
    <row r="396" spans="6:11" x14ac:dyDescent="0.25">
      <c r="F396" s="1"/>
      <c r="G396" s="1"/>
      <c r="H396" s="1"/>
      <c r="I396" s="1"/>
      <c r="J396" s="1"/>
      <c r="K396" s="1"/>
    </row>
    <row r="397" spans="6:11" x14ac:dyDescent="0.25">
      <c r="F397" s="1"/>
      <c r="G397" s="1"/>
      <c r="H397" s="1"/>
      <c r="I397" s="1"/>
      <c r="J397" s="1"/>
      <c r="K397" s="1"/>
    </row>
    <row r="398" spans="6:11" x14ac:dyDescent="0.25">
      <c r="F398" s="1"/>
      <c r="G398" s="1"/>
      <c r="H398" s="1"/>
      <c r="I398" s="1"/>
      <c r="J398" s="1"/>
      <c r="K398" s="1"/>
    </row>
    <row r="399" spans="6:11" x14ac:dyDescent="0.25">
      <c r="F399" s="1"/>
      <c r="G399" s="1"/>
      <c r="H399" s="1"/>
      <c r="I399" s="1"/>
      <c r="J399" s="1"/>
      <c r="K399" s="1"/>
    </row>
    <row r="400" spans="6:11" x14ac:dyDescent="0.25">
      <c r="F400" s="1"/>
      <c r="G400" s="1"/>
      <c r="H400" s="1"/>
      <c r="I400" s="1"/>
      <c r="J400" s="1"/>
      <c r="K400" s="1"/>
    </row>
    <row r="401" spans="6:11" x14ac:dyDescent="0.25">
      <c r="F401" s="1"/>
      <c r="G401" s="1"/>
      <c r="H401" s="1"/>
      <c r="I401" s="1"/>
      <c r="J401" s="1"/>
      <c r="K401" s="1"/>
    </row>
    <row r="402" spans="6:11" x14ac:dyDescent="0.25">
      <c r="F402" s="1"/>
      <c r="G402" s="1"/>
      <c r="H402" s="1"/>
      <c r="I402" s="1"/>
      <c r="J402" s="1"/>
      <c r="K402" s="1"/>
    </row>
    <row r="403" spans="6:11" x14ac:dyDescent="0.25">
      <c r="F403" s="1"/>
      <c r="G403" s="1"/>
      <c r="H403" s="1"/>
      <c r="I403" s="1"/>
      <c r="J403" s="1"/>
      <c r="K403" s="1"/>
    </row>
    <row r="404" spans="6:11" x14ac:dyDescent="0.25">
      <c r="F404" s="1"/>
      <c r="G404" s="1"/>
      <c r="H404" s="1"/>
      <c r="I404" s="1"/>
      <c r="J404" s="1"/>
      <c r="K404" s="1"/>
    </row>
    <row r="405" spans="6:11" x14ac:dyDescent="0.25">
      <c r="F405" s="1"/>
      <c r="G405" s="1"/>
      <c r="H405" s="1"/>
      <c r="I405" s="1"/>
      <c r="J405" s="1"/>
      <c r="K405" s="1"/>
    </row>
    <row r="406" spans="6:11" x14ac:dyDescent="0.25">
      <c r="F406" s="1"/>
      <c r="G406" s="1"/>
      <c r="H406" s="1"/>
      <c r="I406" s="1"/>
      <c r="J406" s="1"/>
      <c r="K406" s="1"/>
    </row>
    <row r="407" spans="6:11" x14ac:dyDescent="0.25">
      <c r="F407" s="1"/>
      <c r="G407" s="1"/>
      <c r="H407" s="1"/>
      <c r="I407" s="1"/>
      <c r="J407" s="1"/>
      <c r="K407" s="1"/>
    </row>
    <row r="408" spans="6:11" x14ac:dyDescent="0.25">
      <c r="F408" s="1"/>
      <c r="G408" s="1"/>
      <c r="H408" s="1"/>
      <c r="I408" s="1"/>
      <c r="J408" s="1"/>
      <c r="K408" s="1"/>
    </row>
    <row r="409" spans="6:11" x14ac:dyDescent="0.25">
      <c r="F409" s="1"/>
      <c r="G409" s="1"/>
      <c r="H409" s="1"/>
      <c r="I409" s="1"/>
      <c r="J409" s="1"/>
      <c r="K409" s="1"/>
    </row>
    <row r="410" spans="6:11" x14ac:dyDescent="0.25">
      <c r="F410" s="1"/>
      <c r="G410" s="1"/>
      <c r="H410" s="1"/>
      <c r="I410" s="1"/>
      <c r="J410" s="1"/>
      <c r="K410" s="1"/>
    </row>
    <row r="411" spans="6:11" x14ac:dyDescent="0.25">
      <c r="F411" s="1"/>
      <c r="G411" s="1"/>
      <c r="H411" s="1"/>
      <c r="I411" s="1"/>
      <c r="J411" s="1"/>
      <c r="K411" s="1"/>
    </row>
    <row r="412" spans="6:11" x14ac:dyDescent="0.25">
      <c r="F412" s="1"/>
      <c r="G412" s="1"/>
      <c r="H412" s="1"/>
      <c r="I412" s="1"/>
      <c r="J412" s="1"/>
      <c r="K412" s="1"/>
    </row>
    <row r="413" spans="6:11" x14ac:dyDescent="0.25">
      <c r="F413" s="1"/>
      <c r="G413" s="1"/>
      <c r="H413" s="1"/>
      <c r="I413" s="1"/>
      <c r="J413" s="1"/>
      <c r="K413" s="1"/>
    </row>
    <row r="414" spans="6:11" x14ac:dyDescent="0.25">
      <c r="F414" s="1"/>
      <c r="G414" s="1"/>
      <c r="H414" s="1"/>
      <c r="I414" s="1"/>
      <c r="J414" s="1"/>
      <c r="K414" s="1"/>
    </row>
    <row r="415" spans="6:11" x14ac:dyDescent="0.25">
      <c r="F415" s="1"/>
      <c r="G415" s="1"/>
      <c r="H415" s="1"/>
      <c r="I415" s="1"/>
      <c r="J415" s="1"/>
      <c r="K415" s="1"/>
    </row>
    <row r="416" spans="6:11" x14ac:dyDescent="0.25">
      <c r="F416" s="1"/>
      <c r="G416" s="1"/>
      <c r="H416" s="1"/>
      <c r="I416" s="1"/>
      <c r="J416" s="1"/>
      <c r="K416" s="1"/>
    </row>
    <row r="417" spans="6:11" x14ac:dyDescent="0.25">
      <c r="F417" s="1"/>
      <c r="G417" s="1"/>
      <c r="H417" s="1"/>
      <c r="I417" s="1"/>
      <c r="J417" s="1"/>
      <c r="K417" s="1"/>
    </row>
    <row r="418" spans="6:11" x14ac:dyDescent="0.25">
      <c r="F418" s="1"/>
      <c r="G418" s="1"/>
      <c r="H418" s="1"/>
      <c r="I418" s="1"/>
      <c r="J418" s="1"/>
      <c r="K418" s="1"/>
    </row>
    <row r="419" spans="6:11" x14ac:dyDescent="0.25">
      <c r="F419" s="1"/>
      <c r="G419" s="1"/>
      <c r="H419" s="1"/>
      <c r="I419" s="1"/>
      <c r="J419" s="1"/>
      <c r="K419" s="1"/>
    </row>
    <row r="420" spans="6:11" x14ac:dyDescent="0.25">
      <c r="F420" s="1"/>
      <c r="G420" s="1"/>
      <c r="H420" s="1"/>
      <c r="I420" s="1"/>
      <c r="J420" s="1"/>
      <c r="K420" s="1"/>
    </row>
    <row r="421" spans="6:11" x14ac:dyDescent="0.25">
      <c r="F421" s="1"/>
      <c r="G421" s="1"/>
      <c r="H421" s="1"/>
      <c r="I421" s="1"/>
      <c r="J421" s="1"/>
      <c r="K421" s="1"/>
    </row>
    <row r="422" spans="6:11" x14ac:dyDescent="0.25">
      <c r="F422" s="1"/>
      <c r="G422" s="1"/>
      <c r="H422" s="1"/>
      <c r="I422" s="1"/>
      <c r="J422" s="1"/>
      <c r="K422" s="1"/>
    </row>
    <row r="423" spans="6:11" x14ac:dyDescent="0.25">
      <c r="F423" s="1"/>
      <c r="G423" s="1"/>
      <c r="H423" s="1"/>
      <c r="I423" s="1"/>
      <c r="J423" s="1"/>
      <c r="K423" s="1"/>
    </row>
    <row r="424" spans="6:11" x14ac:dyDescent="0.25">
      <c r="F424" s="1"/>
      <c r="G424" s="1"/>
      <c r="H424" s="1"/>
      <c r="I424" s="1"/>
      <c r="J424" s="1"/>
      <c r="K424" s="1"/>
    </row>
    <row r="425" spans="6:11" x14ac:dyDescent="0.25">
      <c r="F425" s="1"/>
      <c r="G425" s="1"/>
      <c r="H425" s="1"/>
      <c r="I425" s="1"/>
      <c r="J425" s="1"/>
      <c r="K425" s="1"/>
    </row>
    <row r="426" spans="6:11" x14ac:dyDescent="0.25">
      <c r="F426" s="1"/>
      <c r="G426" s="1"/>
      <c r="H426" s="1"/>
      <c r="I426" s="1"/>
      <c r="J426" s="1"/>
      <c r="K426" s="1"/>
    </row>
    <row r="427" spans="6:11" x14ac:dyDescent="0.25">
      <c r="F427" s="1"/>
      <c r="G427" s="1"/>
      <c r="H427" s="1"/>
      <c r="I427" s="1"/>
      <c r="J427" s="1"/>
      <c r="K427" s="1"/>
    </row>
    <row r="428" spans="6:11" x14ac:dyDescent="0.25">
      <c r="F428" s="1"/>
      <c r="G428" s="1"/>
      <c r="H428" s="1"/>
      <c r="I428" s="1"/>
      <c r="J428" s="1"/>
      <c r="K428" s="1"/>
    </row>
    <row r="429" spans="6:11" x14ac:dyDescent="0.25">
      <c r="F429" s="1"/>
      <c r="G429" s="1"/>
      <c r="H429" s="1"/>
      <c r="I429" s="1"/>
      <c r="J429" s="1"/>
      <c r="K429" s="1"/>
    </row>
    <row r="430" spans="6:11" x14ac:dyDescent="0.25">
      <c r="F430" s="1"/>
      <c r="G430" s="1"/>
      <c r="H430" s="1"/>
      <c r="I430" s="1"/>
      <c r="J430" s="1"/>
      <c r="K430" s="1"/>
    </row>
    <row r="431" spans="6:11" x14ac:dyDescent="0.25">
      <c r="F431" s="1"/>
      <c r="G431" s="1"/>
      <c r="H431" s="1"/>
      <c r="I431" s="1"/>
      <c r="J431" s="1"/>
      <c r="K431" s="1"/>
    </row>
    <row r="432" spans="6:11" x14ac:dyDescent="0.25">
      <c r="F432" s="1"/>
      <c r="G432" s="1"/>
      <c r="H432" s="1"/>
      <c r="I432" s="1"/>
      <c r="J432" s="1"/>
      <c r="K432" s="1"/>
    </row>
    <row r="433" spans="6:11" x14ac:dyDescent="0.25">
      <c r="F433" s="1"/>
      <c r="G433" s="1"/>
      <c r="H433" s="1"/>
      <c r="I433" s="1"/>
      <c r="J433" s="1"/>
      <c r="K433" s="1"/>
    </row>
  </sheetData>
  <mergeCells count="16">
    <mergeCell ref="C346:E346"/>
    <mergeCell ref="B196:E196"/>
    <mergeCell ref="B273:E273"/>
    <mergeCell ref="B247:E247"/>
    <mergeCell ref="F1:H1"/>
    <mergeCell ref="G2:H2"/>
    <mergeCell ref="G222:H222"/>
    <mergeCell ref="B37:E37"/>
    <mergeCell ref="B66:E66"/>
    <mergeCell ref="C104:E104"/>
    <mergeCell ref="C160:E160"/>
    <mergeCell ref="B313:E313"/>
    <mergeCell ref="B241:E241"/>
    <mergeCell ref="D13:N13"/>
    <mergeCell ref="D232:N232"/>
    <mergeCell ref="D16:D29"/>
  </mergeCells>
  <dataValidations disablePrompts="1" count="5">
    <dataValidation type="list" allowBlank="1" showInputMessage="1" showErrorMessage="1" sqref="H336 H316:H318 H250:H252 H199:H201 H107:H109 H40:H42 H4:H12 H233:H239 H44:H45 H151 H280 H349:H353 H113 H295:H297 H79:H102 H15:H30 H54:H55 H157:H158 H163:H165 H218:H221 H344 H271 H254:H256 H371 H244:H245 H203 H194 H59:H64 H47:H51 H134:H136 H139:H140 H74:H77 H111 H266:H267 H306 H186 H258:H263 H69:H71 H224:H231 H276:H278 H148 H183:H184 H334 H34:H35" xr:uid="{00000000-0002-0000-0300-000000000000}">
      <formula1>$A$375:$A$379</formula1>
    </dataValidation>
    <dataValidation type="list" allowBlank="1" showInputMessage="1" showErrorMessage="1" sqref="F15:F30 F40 F355:F371 F250 F46:F64 F74:F102 H257 H46 H56:H58 H52:H53 H88:H89 H112 H114:H133 H137:H138 H141:H147 H152:H156 H187:H193 H204:H217 R181 H268:H270 H307:H311 H264:H265 H337:H343 H101 H78:H81 F257:F271 T289:T292 R289:R292 H281:H294 F203:F221 H355:H370 F69:F70 F107:F108 F163:F164 F199:F200 F276:F277 F316:F317 F349:F352 F4:F12 F224:F231 F233:F239 H298:H304 F111:F158 F280:F311 F167:F194 H167:H182 F320:F344 H320:H333 F244:F245 F34:F35" xr:uid="{00000000-0002-0000-0300-000001000000}">
      <formula1>#REF!</formula1>
    </dataValidation>
    <dataValidation type="list" allowBlank="1" showInputMessage="1" showErrorMessage="1" sqref="H43 H319:H320 H253 H202 H110 H72:H73 H166:H167 H279 H354" xr:uid="{32413F63-8A1B-49B3-A65B-A09C16B2030D}">
      <formula1>$A$384:$A$389</formula1>
    </dataValidation>
    <dataValidation type="list" allowBlank="1" showInputMessage="1" showErrorMessage="1" sqref="H149:H150 H305" xr:uid="{005A593A-7C7F-41DB-BB3B-6190F49E9321}">
      <formula1>$A$359:$A$363</formula1>
    </dataValidation>
    <dataValidation type="list" allowBlank="1" showInputMessage="1" showErrorMessage="1" sqref="H185 H335" xr:uid="{D1B984AB-4B33-45B7-9F04-FC0DD85E69EC}">
      <formula1>$A$357:$A$361</formula1>
    </dataValidation>
  </dataValidations>
  <pageMargins left="0.78740157499999996" right="0.78740157499999996" top="0.984251969" bottom="0.984251969" header="0.4921259845" footer="0.4921259845"/>
  <pageSetup paperSize="8" scale="86" fitToHeight="0" orientation="portrait" r:id="rId1"/>
  <headerFooter alignWithMargins="0">
    <oddFooter>&amp;L&amp;F&amp;C&amp;A&amp;R&amp;P</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N415"/>
  <sheetViews>
    <sheetView topLeftCell="A44" zoomScale="90" zoomScaleNormal="90" workbookViewId="0">
      <selection activeCell="B32" sqref="B32"/>
    </sheetView>
  </sheetViews>
  <sheetFormatPr baseColWidth="10" defaultColWidth="11.44140625" defaultRowHeight="13.8" x14ac:dyDescent="0.25"/>
  <cols>
    <col min="1" max="1" width="59.88671875" style="1" customWidth="1"/>
    <col min="2" max="2" width="13.6640625" style="1" bestFit="1" customWidth="1"/>
    <col min="3" max="3" width="20.44140625" style="1" customWidth="1"/>
    <col min="4" max="4" width="9.6640625" style="1" customWidth="1"/>
    <col min="5" max="5" width="67.109375" style="17" customWidth="1"/>
    <col min="6" max="6" width="39.6640625" style="1" customWidth="1"/>
    <col min="7" max="16384" width="11.44140625" style="1"/>
  </cols>
  <sheetData>
    <row r="1" spans="1:6" x14ac:dyDescent="0.25">
      <c r="A1" s="5"/>
      <c r="B1" s="5"/>
      <c r="E1" s="1"/>
    </row>
    <row r="2" spans="1:6" ht="16.8" x14ac:dyDescent="0.25">
      <c r="A2" s="9" t="s">
        <v>659</v>
      </c>
      <c r="B2" s="8"/>
      <c r="C2" s="8"/>
      <c r="D2" s="8"/>
      <c r="E2" s="9"/>
      <c r="F2" s="9"/>
    </row>
    <row r="3" spans="1:6" ht="69" x14ac:dyDescent="0.25">
      <c r="A3" s="11" t="s">
        <v>9</v>
      </c>
      <c r="B3" s="11" t="s">
        <v>10</v>
      </c>
      <c r="C3" s="11" t="s">
        <v>1</v>
      </c>
      <c r="D3" s="11" t="s">
        <v>11</v>
      </c>
      <c r="E3" s="11" t="s">
        <v>12</v>
      </c>
      <c r="F3" s="11"/>
    </row>
    <row r="4" spans="1:6" x14ac:dyDescent="0.25">
      <c r="A4" s="3" t="s">
        <v>20</v>
      </c>
      <c r="B4" s="15"/>
      <c r="C4" s="25"/>
      <c r="D4" s="25"/>
      <c r="E4" s="25"/>
      <c r="F4" s="25"/>
    </row>
    <row r="5" spans="1:6" x14ac:dyDescent="0.25">
      <c r="A5" s="3" t="s">
        <v>21</v>
      </c>
      <c r="B5" s="15" t="s">
        <v>115</v>
      </c>
      <c r="C5" s="25">
        <v>1570</v>
      </c>
      <c r="D5" s="25"/>
      <c r="E5" s="25"/>
      <c r="F5" s="25"/>
    </row>
    <row r="6" spans="1:6" x14ac:dyDescent="0.25">
      <c r="A6" s="3" t="s">
        <v>22</v>
      </c>
      <c r="B6" s="15"/>
      <c r="C6" s="25"/>
      <c r="D6" s="25"/>
      <c r="E6" s="25"/>
      <c r="F6" s="25"/>
    </row>
    <row r="7" spans="1:6" x14ac:dyDescent="0.25">
      <c r="A7" s="3" t="s">
        <v>23</v>
      </c>
      <c r="B7" s="15"/>
      <c r="C7" s="25"/>
      <c r="D7" s="25"/>
      <c r="E7" s="25"/>
      <c r="F7" s="25"/>
    </row>
    <row r="8" spans="1:6" x14ac:dyDescent="0.25">
      <c r="A8" s="3"/>
      <c r="B8" s="15"/>
      <c r="C8" s="25"/>
      <c r="D8" s="25"/>
      <c r="E8" s="25"/>
      <c r="F8" s="25"/>
    </row>
    <row r="9" spans="1:6" x14ac:dyDescent="0.25">
      <c r="A9" s="3" t="s">
        <v>525</v>
      </c>
      <c r="B9" s="15"/>
      <c r="C9" s="25"/>
      <c r="D9" s="25"/>
      <c r="E9" s="25"/>
      <c r="F9" s="25"/>
    </row>
    <row r="10" spans="1:6" x14ac:dyDescent="0.25">
      <c r="A10" s="154" t="s">
        <v>526</v>
      </c>
      <c r="B10" s="15"/>
      <c r="C10" s="25"/>
      <c r="D10" s="25"/>
      <c r="E10" s="232" t="s">
        <v>1012</v>
      </c>
      <c r="F10" s="25"/>
    </row>
    <row r="11" spans="1:6" x14ac:dyDescent="0.25">
      <c r="A11" s="155" t="s">
        <v>527</v>
      </c>
      <c r="B11" s="15"/>
      <c r="C11" s="25"/>
      <c r="D11" s="25"/>
      <c r="E11" s="233"/>
      <c r="F11" s="25"/>
    </row>
    <row r="12" spans="1:6" x14ac:dyDescent="0.25">
      <c r="A12" s="154" t="s">
        <v>528</v>
      </c>
      <c r="B12" s="15"/>
      <c r="C12" s="25"/>
      <c r="D12" s="25"/>
      <c r="E12" s="233"/>
      <c r="F12" s="25"/>
    </row>
    <row r="13" spans="1:6" x14ac:dyDescent="0.25">
      <c r="A13" s="154" t="s">
        <v>529</v>
      </c>
      <c r="B13" s="15"/>
      <c r="C13" s="25"/>
      <c r="D13" s="25"/>
      <c r="E13" s="233"/>
      <c r="F13" s="25"/>
    </row>
    <row r="14" spans="1:6" x14ac:dyDescent="0.25">
      <c r="A14" s="156" t="s">
        <v>530</v>
      </c>
      <c r="B14" s="15"/>
      <c r="C14" s="25"/>
      <c r="D14" s="25"/>
      <c r="E14" s="233"/>
      <c r="F14" s="25"/>
    </row>
    <row r="15" spans="1:6" x14ac:dyDescent="0.25">
      <c r="A15" s="156" t="s">
        <v>531</v>
      </c>
      <c r="B15" s="15"/>
      <c r="C15" s="25"/>
      <c r="D15" s="25"/>
      <c r="E15" s="233"/>
      <c r="F15" s="25"/>
    </row>
    <row r="16" spans="1:6" ht="27.6" x14ac:dyDescent="0.25">
      <c r="A16" s="156" t="s">
        <v>532</v>
      </c>
      <c r="B16" s="15"/>
      <c r="C16" s="25"/>
      <c r="D16" s="25"/>
      <c r="E16" s="233"/>
      <c r="F16" s="25"/>
    </row>
    <row r="17" spans="1:6" x14ac:dyDescent="0.25">
      <c r="A17" s="156" t="s">
        <v>533</v>
      </c>
      <c r="B17" s="15"/>
      <c r="C17" s="25"/>
      <c r="D17" s="25"/>
      <c r="E17" s="233"/>
      <c r="F17" s="25"/>
    </row>
    <row r="18" spans="1:6" x14ac:dyDescent="0.25">
      <c r="A18" s="156" t="s">
        <v>534</v>
      </c>
      <c r="B18" s="15"/>
      <c r="C18" s="25"/>
      <c r="D18" s="25"/>
      <c r="E18" s="233"/>
      <c r="F18" s="25"/>
    </row>
    <row r="19" spans="1:6" x14ac:dyDescent="0.25">
      <c r="A19" s="156" t="s">
        <v>535</v>
      </c>
      <c r="B19" s="15"/>
      <c r="C19" s="25"/>
      <c r="D19" s="25"/>
      <c r="E19" s="233"/>
      <c r="F19" s="25"/>
    </row>
    <row r="20" spans="1:6" x14ac:dyDescent="0.25">
      <c r="A20" s="3"/>
      <c r="B20" s="15"/>
      <c r="C20" s="25"/>
      <c r="D20" s="25"/>
      <c r="E20" s="234"/>
      <c r="F20" s="25"/>
    </row>
    <row r="21" spans="1:6" ht="80.099999999999994" customHeight="1" x14ac:dyDescent="0.25">
      <c r="A21" s="3" t="s">
        <v>124</v>
      </c>
      <c r="B21" s="15" t="s">
        <v>125</v>
      </c>
      <c r="C21" s="73">
        <f>(1314/9460800)*1570</f>
        <v>0.21805555555555556</v>
      </c>
      <c r="D21" s="221" t="s">
        <v>126</v>
      </c>
      <c r="E21" s="223"/>
      <c r="F21" s="25"/>
    </row>
    <row r="22" spans="1:6" s="6" customFormat="1" x14ac:dyDescent="0.25">
      <c r="A22" s="3"/>
      <c r="B22" s="15"/>
      <c r="C22" s="23"/>
      <c r="D22" s="23"/>
      <c r="E22" s="23"/>
      <c r="F22" s="25"/>
    </row>
    <row r="23" spans="1:6" x14ac:dyDescent="0.25">
      <c r="A23" s="7"/>
      <c r="B23" s="7"/>
      <c r="E23" s="1"/>
    </row>
    <row r="24" spans="1:6" ht="27.6" x14ac:dyDescent="0.25">
      <c r="A24" s="10" t="s">
        <v>1010</v>
      </c>
      <c r="B24" s="11" t="s">
        <v>10</v>
      </c>
      <c r="C24" s="11" t="s">
        <v>1</v>
      </c>
      <c r="D24" s="11" t="s">
        <v>12</v>
      </c>
      <c r="E24" s="35" t="s">
        <v>13</v>
      </c>
      <c r="F24" s="35"/>
    </row>
    <row r="25" spans="1:6" x14ac:dyDescent="0.25">
      <c r="A25" s="66" t="s">
        <v>22</v>
      </c>
      <c r="B25" s="11"/>
      <c r="C25" s="11"/>
      <c r="D25" s="11"/>
      <c r="E25" s="11"/>
      <c r="F25" s="11"/>
    </row>
    <row r="26" spans="1:6" x14ac:dyDescent="0.25">
      <c r="A26" s="66" t="s">
        <v>25</v>
      </c>
      <c r="B26" s="11"/>
      <c r="C26" s="11"/>
      <c r="D26" s="11"/>
      <c r="E26" s="11"/>
      <c r="F26" s="11"/>
    </row>
    <row r="27" spans="1:6" s="6" customFormat="1" x14ac:dyDescent="0.25">
      <c r="A27" s="4"/>
      <c r="B27" s="15"/>
      <c r="C27" s="33"/>
      <c r="D27" s="25"/>
      <c r="E27" s="24"/>
      <c r="F27" s="24"/>
    </row>
    <row r="28" spans="1:6" ht="27.6" x14ac:dyDescent="0.25">
      <c r="A28" s="10" t="s">
        <v>536</v>
      </c>
      <c r="B28" s="11" t="s">
        <v>10</v>
      </c>
      <c r="C28" s="11" t="s">
        <v>1</v>
      </c>
      <c r="D28" s="11" t="s">
        <v>12</v>
      </c>
      <c r="E28" s="35" t="s">
        <v>13</v>
      </c>
      <c r="F28" s="35"/>
    </row>
    <row r="29" spans="1:6" ht="62.4" customHeight="1" x14ac:dyDescent="0.25">
      <c r="A29" s="66" t="s">
        <v>177</v>
      </c>
      <c r="B29" s="216" t="s">
        <v>537</v>
      </c>
      <c r="C29" s="217"/>
      <c r="D29" s="217"/>
      <c r="E29" s="218"/>
      <c r="F29" s="11"/>
    </row>
    <row r="30" spans="1:6" x14ac:dyDescent="0.25">
      <c r="A30" s="66" t="s">
        <v>22</v>
      </c>
      <c r="B30" s="11"/>
      <c r="C30" s="11"/>
      <c r="D30" s="11"/>
      <c r="E30" s="11"/>
      <c r="F30" s="11"/>
    </row>
    <row r="31" spans="1:6" x14ac:dyDescent="0.25">
      <c r="A31" s="66" t="s">
        <v>25</v>
      </c>
      <c r="B31" s="11" t="s">
        <v>115</v>
      </c>
      <c r="C31" s="11">
        <v>15</v>
      </c>
      <c r="D31" s="11"/>
      <c r="E31" s="11"/>
      <c r="F31" s="11"/>
    </row>
    <row r="32" spans="1:6" x14ac:dyDescent="0.25">
      <c r="A32" s="46" t="s">
        <v>26</v>
      </c>
      <c r="B32" s="2"/>
      <c r="C32" s="25"/>
      <c r="D32" s="25"/>
      <c r="E32" s="24"/>
      <c r="F32" s="24"/>
    </row>
    <row r="33" spans="1:6" x14ac:dyDescent="0.25">
      <c r="A33" s="4" t="s">
        <v>538</v>
      </c>
      <c r="B33" s="2" t="s">
        <v>539</v>
      </c>
      <c r="C33" s="25">
        <v>1</v>
      </c>
      <c r="D33" s="25"/>
      <c r="E33" s="24"/>
      <c r="F33" s="113"/>
    </row>
    <row r="34" spans="1:6" ht="15.6" x14ac:dyDescent="0.25">
      <c r="A34" s="4" t="s">
        <v>130</v>
      </c>
      <c r="B34" s="4" t="s">
        <v>131</v>
      </c>
      <c r="C34" s="23">
        <f>(20/26280000)*15</f>
        <v>1.1415525114155251E-5</v>
      </c>
      <c r="D34" s="146"/>
      <c r="E34" s="78" t="s">
        <v>325</v>
      </c>
      <c r="F34" s="78" t="s">
        <v>540</v>
      </c>
    </row>
    <row r="35" spans="1:6" x14ac:dyDescent="0.25">
      <c r="A35" s="4" t="s">
        <v>134</v>
      </c>
      <c r="B35" s="4" t="s">
        <v>125</v>
      </c>
      <c r="C35" s="23">
        <f>($C$21/1570)*C31</f>
        <v>2.0833333333333333E-3</v>
      </c>
      <c r="D35" s="146"/>
      <c r="E35" s="78" t="s">
        <v>135</v>
      </c>
      <c r="F35" s="25"/>
    </row>
    <row r="36" spans="1:6" x14ac:dyDescent="0.25">
      <c r="A36" s="2" t="s">
        <v>391</v>
      </c>
      <c r="B36" s="4" t="s">
        <v>33</v>
      </c>
      <c r="C36" s="165">
        <f>Allokationen!E75</f>
        <v>1.3152995343835445</v>
      </c>
      <c r="D36" s="168"/>
      <c r="E36" s="78" t="s">
        <v>137</v>
      </c>
      <c r="F36" s="78"/>
    </row>
    <row r="37" spans="1:6" x14ac:dyDescent="0.25">
      <c r="A37" s="70" t="s">
        <v>138</v>
      </c>
      <c r="B37" s="4" t="s">
        <v>33</v>
      </c>
      <c r="C37" s="165">
        <f>Allokationen!F75</f>
        <v>3.6380625419119315</v>
      </c>
      <c r="D37" s="168"/>
      <c r="E37" s="78" t="s">
        <v>137</v>
      </c>
      <c r="F37" s="78"/>
    </row>
    <row r="38" spans="1:6" s="6" customFormat="1" ht="41.4" x14ac:dyDescent="0.25">
      <c r="A38" s="4" t="s">
        <v>140</v>
      </c>
      <c r="B38" s="3" t="s">
        <v>141</v>
      </c>
      <c r="C38" s="73">
        <f>15/2100</f>
        <v>7.1428571428571426E-3</v>
      </c>
      <c r="D38" s="33"/>
      <c r="E38" s="78" t="s">
        <v>142</v>
      </c>
      <c r="F38" s="78"/>
    </row>
    <row r="39" spans="1:6" s="6" customFormat="1" ht="69" x14ac:dyDescent="0.25">
      <c r="A39" s="4" t="s">
        <v>151</v>
      </c>
      <c r="B39" s="3" t="s">
        <v>144</v>
      </c>
      <c r="C39" s="23">
        <f>2*(770*0.00526316)</f>
        <v>8.1052663999999996</v>
      </c>
      <c r="D39" s="33"/>
      <c r="E39" s="78" t="s">
        <v>152</v>
      </c>
      <c r="F39" s="78" t="s">
        <v>153</v>
      </c>
    </row>
    <row r="40" spans="1:6" s="6" customFormat="1" x14ac:dyDescent="0.25">
      <c r="A40" s="4"/>
      <c r="B40" s="3"/>
      <c r="C40" s="99"/>
      <c r="D40" s="33"/>
      <c r="E40" s="78"/>
      <c r="F40" s="78"/>
    </row>
    <row r="41" spans="1:6" x14ac:dyDescent="0.25">
      <c r="A41" s="46" t="s">
        <v>35</v>
      </c>
      <c r="B41" s="15"/>
      <c r="C41" s="23"/>
      <c r="D41" s="25"/>
      <c r="E41" s="78"/>
      <c r="F41" s="78"/>
    </row>
    <row r="42" spans="1:6" x14ac:dyDescent="0.25">
      <c r="A42" s="4" t="s">
        <v>392</v>
      </c>
      <c r="B42" s="98" t="s">
        <v>37</v>
      </c>
      <c r="C42" s="23" t="s">
        <v>5</v>
      </c>
      <c r="D42" s="25"/>
      <c r="E42" s="78"/>
      <c r="F42" s="78"/>
    </row>
    <row r="43" spans="1:6" x14ac:dyDescent="0.25">
      <c r="A43" s="4" t="s">
        <v>541</v>
      </c>
      <c r="B43" s="98" t="s">
        <v>37</v>
      </c>
      <c r="C43" s="23">
        <v>1</v>
      </c>
      <c r="D43" s="25"/>
      <c r="E43" s="78"/>
      <c r="F43" s="78"/>
    </row>
    <row r="44" spans="1:6" ht="33" customHeight="1" x14ac:dyDescent="0.25">
      <c r="A44" s="70" t="s">
        <v>542</v>
      </c>
      <c r="B44" s="4" t="s">
        <v>156</v>
      </c>
      <c r="C44" s="24">
        <f>C171</f>
        <v>293.85000000000002</v>
      </c>
      <c r="D44" s="25"/>
      <c r="E44" s="78" t="s">
        <v>157</v>
      </c>
      <c r="F44" s="78" t="s">
        <v>543</v>
      </c>
    </row>
    <row r="45" spans="1:6" ht="26.25" customHeight="1" x14ac:dyDescent="0.25">
      <c r="A45" s="70" t="s">
        <v>160</v>
      </c>
      <c r="B45" s="4" t="s">
        <v>144</v>
      </c>
      <c r="C45" s="73">
        <f>C39</f>
        <v>8.1052663999999996</v>
      </c>
      <c r="D45" s="25"/>
      <c r="E45" s="78"/>
      <c r="F45" s="78" t="s">
        <v>161</v>
      </c>
    </row>
    <row r="46" spans="1:6" ht="27.9" customHeight="1" x14ac:dyDescent="0.25">
      <c r="A46" s="70" t="s">
        <v>162</v>
      </c>
      <c r="B46" s="4" t="s">
        <v>144</v>
      </c>
      <c r="C46" s="73">
        <f>C38*200</f>
        <v>1.4285714285714286</v>
      </c>
      <c r="D46" s="25"/>
      <c r="E46" s="78"/>
      <c r="F46" s="78" t="s">
        <v>163</v>
      </c>
    </row>
    <row r="47" spans="1:6" x14ac:dyDescent="0.25">
      <c r="A47" s="16"/>
      <c r="B47" s="15"/>
      <c r="C47" s="25"/>
      <c r="D47" s="25"/>
      <c r="E47" s="24"/>
      <c r="F47" s="25"/>
    </row>
    <row r="48" spans="1:6" x14ac:dyDescent="0.25">
      <c r="A48" s="48" t="s">
        <v>544</v>
      </c>
      <c r="B48" s="15"/>
      <c r="C48" s="25"/>
      <c r="D48" s="25"/>
      <c r="E48" s="24"/>
      <c r="F48" s="25"/>
    </row>
    <row r="49" spans="1:6" x14ac:dyDescent="0.25">
      <c r="A49" s="16"/>
      <c r="B49" s="15"/>
      <c r="C49" s="25"/>
      <c r="D49" s="25"/>
      <c r="E49" s="24"/>
      <c r="F49" s="25"/>
    </row>
    <row r="50" spans="1:6" x14ac:dyDescent="0.25">
      <c r="A50" s="16"/>
      <c r="B50" s="15"/>
      <c r="C50" s="25"/>
      <c r="D50" s="25"/>
      <c r="E50" s="24"/>
      <c r="F50" s="25"/>
    </row>
    <row r="51" spans="1:6" ht="27.6" x14ac:dyDescent="0.25">
      <c r="A51" s="10" t="s">
        <v>545</v>
      </c>
      <c r="B51" s="11" t="s">
        <v>10</v>
      </c>
      <c r="C51" s="11" t="s">
        <v>1</v>
      </c>
      <c r="D51" s="11" t="s">
        <v>12</v>
      </c>
      <c r="E51" s="35" t="s">
        <v>13</v>
      </c>
      <c r="F51" s="35"/>
    </row>
    <row r="52" spans="1:6" ht="69.900000000000006" customHeight="1" x14ac:dyDescent="0.25">
      <c r="A52" s="66" t="s">
        <v>177</v>
      </c>
      <c r="B52" s="216" t="s">
        <v>546</v>
      </c>
      <c r="C52" s="217"/>
      <c r="D52" s="217"/>
      <c r="E52" s="218"/>
      <c r="F52" s="11"/>
    </row>
    <row r="53" spans="1:6" x14ac:dyDescent="0.25">
      <c r="A53" s="66" t="s">
        <v>22</v>
      </c>
      <c r="B53" s="11"/>
      <c r="C53" s="11"/>
      <c r="D53" s="11"/>
      <c r="E53" s="11"/>
      <c r="F53" s="11"/>
    </row>
    <row r="54" spans="1:6" x14ac:dyDescent="0.25">
      <c r="A54" s="66" t="s">
        <v>25</v>
      </c>
      <c r="B54" s="11" t="s">
        <v>115</v>
      </c>
      <c r="C54" s="11">
        <v>240</v>
      </c>
      <c r="D54" s="11"/>
      <c r="E54" s="11"/>
      <c r="F54" s="11"/>
    </row>
    <row r="55" spans="1:6" x14ac:dyDescent="0.25">
      <c r="A55" s="46" t="s">
        <v>26</v>
      </c>
      <c r="B55" s="15"/>
      <c r="C55" s="34"/>
      <c r="D55" s="25"/>
      <c r="E55" s="24"/>
      <c r="F55" s="25"/>
    </row>
    <row r="56" spans="1:6" x14ac:dyDescent="0.25">
      <c r="A56" s="4" t="s">
        <v>541</v>
      </c>
      <c r="B56" s="98"/>
      <c r="C56" s="34"/>
      <c r="D56" s="25"/>
      <c r="E56" s="24"/>
      <c r="F56" s="25"/>
    </row>
    <row r="57" spans="1:6" ht="15.6" x14ac:dyDescent="0.25">
      <c r="A57" s="4" t="s">
        <v>130</v>
      </c>
      <c r="B57" s="4" t="s">
        <v>131</v>
      </c>
      <c r="C57" s="23">
        <f>(20/26280000)*240</f>
        <v>1.8264840182648402E-4</v>
      </c>
      <c r="D57" s="143"/>
      <c r="E57" s="78" t="s">
        <v>325</v>
      </c>
      <c r="F57" s="25"/>
    </row>
    <row r="58" spans="1:6" x14ac:dyDescent="0.25">
      <c r="A58" s="4" t="s">
        <v>134</v>
      </c>
      <c r="B58" s="4" t="s">
        <v>125</v>
      </c>
      <c r="C58" s="23">
        <f>($C$21/1570)*C54</f>
        <v>3.3333333333333333E-2</v>
      </c>
      <c r="D58" s="146"/>
      <c r="E58" s="78" t="s">
        <v>135</v>
      </c>
      <c r="F58" s="25"/>
    </row>
    <row r="59" spans="1:6" ht="82.8" x14ac:dyDescent="0.25">
      <c r="A59" s="4" t="s">
        <v>397</v>
      </c>
      <c r="B59" s="4" t="s">
        <v>33</v>
      </c>
      <c r="C59" s="159"/>
      <c r="D59" s="172">
        <f>3.5*0.75</f>
        <v>2.625</v>
      </c>
      <c r="E59" s="78" t="s">
        <v>398</v>
      </c>
      <c r="F59" s="25"/>
    </row>
    <row r="60" spans="1:6" x14ac:dyDescent="0.25">
      <c r="A60" s="4" t="s">
        <v>340</v>
      </c>
      <c r="B60" s="4" t="s">
        <v>33</v>
      </c>
      <c r="C60" s="169">
        <f>Allokationen!E76</f>
        <v>21.044792550136712</v>
      </c>
      <c r="D60" s="170"/>
      <c r="E60" s="78" t="s">
        <v>137</v>
      </c>
      <c r="F60" s="78"/>
    </row>
    <row r="61" spans="1:6" x14ac:dyDescent="0.25">
      <c r="A61" s="4" t="s">
        <v>399</v>
      </c>
      <c r="B61" s="4" t="s">
        <v>33</v>
      </c>
      <c r="C61" s="169">
        <f>Allokationen!F76</f>
        <v>58.209000670590903</v>
      </c>
      <c r="D61" s="170"/>
      <c r="E61" s="78" t="s">
        <v>137</v>
      </c>
      <c r="F61" s="78"/>
    </row>
    <row r="62" spans="1:6" ht="138" x14ac:dyDescent="0.25">
      <c r="A62" s="4" t="s">
        <v>78</v>
      </c>
      <c r="B62" s="4" t="s">
        <v>188</v>
      </c>
      <c r="C62" s="23">
        <f>2*850</f>
        <v>1700</v>
      </c>
      <c r="D62" s="80"/>
      <c r="E62" s="80" t="s">
        <v>400</v>
      </c>
      <c r="F62" s="78" t="s">
        <v>190</v>
      </c>
    </row>
    <row r="63" spans="1:6" ht="41.4" x14ac:dyDescent="0.25">
      <c r="A63" s="4" t="s">
        <v>385</v>
      </c>
      <c r="B63" s="4" t="s">
        <v>128</v>
      </c>
      <c r="C63" s="23">
        <v>0.1</v>
      </c>
      <c r="D63" s="30"/>
      <c r="E63" s="80" t="s">
        <v>547</v>
      </c>
      <c r="F63" s="78"/>
    </row>
    <row r="64" spans="1:6" s="6" customFormat="1" ht="27.6" x14ac:dyDescent="0.25">
      <c r="A64" s="4" t="s">
        <v>140</v>
      </c>
      <c r="B64" s="3" t="s">
        <v>141</v>
      </c>
      <c r="C64" s="73">
        <f>240/2100</f>
        <v>0.11428571428571428</v>
      </c>
      <c r="D64" s="33"/>
      <c r="E64" s="78" t="s">
        <v>327</v>
      </c>
      <c r="F64" s="78"/>
    </row>
    <row r="65" spans="1:6" ht="27.6" x14ac:dyDescent="0.25">
      <c r="A65" s="2" t="s">
        <v>402</v>
      </c>
      <c r="B65" s="4" t="s">
        <v>128</v>
      </c>
      <c r="C65" s="23">
        <v>2.5</v>
      </c>
      <c r="D65" s="25"/>
      <c r="E65" s="78" t="s">
        <v>403</v>
      </c>
      <c r="F65" s="78"/>
    </row>
    <row r="66" spans="1:6" ht="69" x14ac:dyDescent="0.25">
      <c r="A66" s="2" t="s">
        <v>151</v>
      </c>
      <c r="B66" s="4" t="s">
        <v>144</v>
      </c>
      <c r="C66" s="23">
        <f>2*(770*0.00526316)</f>
        <v>8.1052663999999996</v>
      </c>
      <c r="D66" s="33"/>
      <c r="E66" s="78" t="s">
        <v>152</v>
      </c>
      <c r="F66" s="78"/>
    </row>
    <row r="67" spans="1:6" x14ac:dyDescent="0.25">
      <c r="A67" s="4"/>
      <c r="B67" s="98"/>
      <c r="C67" s="34"/>
      <c r="D67" s="25"/>
      <c r="E67" s="24"/>
      <c r="F67" s="78"/>
    </row>
    <row r="68" spans="1:6" x14ac:dyDescent="0.25">
      <c r="A68" s="48" t="s">
        <v>35</v>
      </c>
      <c r="B68" s="4"/>
      <c r="C68" s="25"/>
      <c r="D68" s="25"/>
      <c r="E68" s="24"/>
      <c r="F68" s="78"/>
    </row>
    <row r="69" spans="1:6" x14ac:dyDescent="0.25">
      <c r="A69" s="16" t="s">
        <v>548</v>
      </c>
      <c r="B69" s="15"/>
      <c r="C69" s="25"/>
      <c r="D69" s="25"/>
      <c r="E69" s="24"/>
      <c r="F69" s="78"/>
    </row>
    <row r="70" spans="1:6" x14ac:dyDescent="0.25">
      <c r="A70" s="2" t="s">
        <v>405</v>
      </c>
      <c r="B70" s="4" t="s">
        <v>45</v>
      </c>
      <c r="C70" s="25" t="s">
        <v>406</v>
      </c>
      <c r="D70" s="25"/>
      <c r="E70" s="78" t="s">
        <v>407</v>
      </c>
      <c r="F70" s="78"/>
    </row>
    <row r="71" spans="1:6" ht="27.6" x14ac:dyDescent="0.25">
      <c r="A71" s="2" t="s">
        <v>408</v>
      </c>
      <c r="B71" s="4" t="s">
        <v>144</v>
      </c>
      <c r="C71" s="23">
        <f>C63*340</f>
        <v>34</v>
      </c>
      <c r="D71" s="25"/>
      <c r="E71" s="78"/>
      <c r="F71" s="78" t="s">
        <v>409</v>
      </c>
    </row>
    <row r="72" spans="1:6" ht="27.6" x14ac:dyDescent="0.25">
      <c r="A72" s="2" t="s">
        <v>410</v>
      </c>
      <c r="B72" s="4" t="s">
        <v>156</v>
      </c>
      <c r="C72" s="23">
        <f>C65*3.4</f>
        <v>8.5</v>
      </c>
      <c r="D72" s="25"/>
      <c r="E72" s="78" t="s">
        <v>403</v>
      </c>
      <c r="F72" s="78" t="s">
        <v>411</v>
      </c>
    </row>
    <row r="73" spans="1:6" ht="27.6" x14ac:dyDescent="0.25">
      <c r="A73" s="2" t="s">
        <v>412</v>
      </c>
      <c r="B73" s="4" t="s">
        <v>413</v>
      </c>
      <c r="C73" s="23">
        <f>C65*0.1</f>
        <v>0.25</v>
      </c>
      <c r="D73" s="25"/>
      <c r="E73" s="78"/>
      <c r="F73" s="78" t="s">
        <v>414</v>
      </c>
    </row>
    <row r="74" spans="1:6" ht="41.4" x14ac:dyDescent="0.25">
      <c r="A74" s="70" t="s">
        <v>415</v>
      </c>
      <c r="B74" s="4" t="s">
        <v>144</v>
      </c>
      <c r="C74" s="73">
        <f>C64*200</f>
        <v>22.857142857142858</v>
      </c>
      <c r="D74" s="25"/>
      <c r="E74" s="78"/>
      <c r="F74" s="78" t="s">
        <v>163</v>
      </c>
    </row>
    <row r="75" spans="1:6" ht="27.6" x14ac:dyDescent="0.25">
      <c r="A75" s="70" t="s">
        <v>416</v>
      </c>
      <c r="B75" s="4" t="s">
        <v>144</v>
      </c>
      <c r="C75" s="73">
        <f>C66</f>
        <v>8.1052663999999996</v>
      </c>
      <c r="D75" s="25"/>
      <c r="E75" s="78"/>
      <c r="F75" s="78" t="s">
        <v>417</v>
      </c>
    </row>
    <row r="76" spans="1:6" x14ac:dyDescent="0.25">
      <c r="A76" s="16"/>
      <c r="B76" s="15"/>
      <c r="C76" s="25"/>
      <c r="D76" s="25"/>
      <c r="E76" s="24"/>
      <c r="F76" s="25"/>
    </row>
    <row r="77" spans="1:6" x14ac:dyDescent="0.25">
      <c r="A77" s="48" t="s">
        <v>544</v>
      </c>
      <c r="B77" s="15"/>
      <c r="C77" s="25"/>
      <c r="D77" s="25"/>
      <c r="E77" s="24"/>
      <c r="F77" s="25"/>
    </row>
    <row r="78" spans="1:6" x14ac:dyDescent="0.25">
      <c r="A78" s="48"/>
      <c r="B78" s="4"/>
      <c r="C78" s="25"/>
      <c r="D78" s="25"/>
      <c r="E78" s="24"/>
      <c r="F78" s="25"/>
    </row>
    <row r="79" spans="1:6" x14ac:dyDescent="0.25">
      <c r="A79" s="48"/>
      <c r="B79" s="4"/>
      <c r="C79" s="25"/>
      <c r="D79" s="25"/>
      <c r="E79" s="24"/>
      <c r="F79" s="25"/>
    </row>
    <row r="80" spans="1:6" ht="27.6" x14ac:dyDescent="0.25">
      <c r="A80" s="10" t="s">
        <v>549</v>
      </c>
      <c r="B80" s="11" t="s">
        <v>10</v>
      </c>
      <c r="C80" s="11" t="s">
        <v>1</v>
      </c>
      <c r="D80" s="11" t="s">
        <v>12</v>
      </c>
      <c r="E80" s="35" t="s">
        <v>13</v>
      </c>
      <c r="F80" s="35"/>
    </row>
    <row r="81" spans="1:14" ht="134.4" customHeight="1" x14ac:dyDescent="0.25">
      <c r="A81" s="66" t="s">
        <v>177</v>
      </c>
      <c r="B81" s="216" t="s">
        <v>550</v>
      </c>
      <c r="C81" s="217"/>
      <c r="D81" s="217"/>
      <c r="E81" s="218"/>
      <c r="F81" s="11"/>
    </row>
    <row r="82" spans="1:14" x14ac:dyDescent="0.25">
      <c r="A82" s="66" t="s">
        <v>22</v>
      </c>
      <c r="B82" s="11"/>
      <c r="C82" s="11"/>
      <c r="D82" s="11"/>
      <c r="E82" s="11"/>
      <c r="F82" s="11"/>
    </row>
    <row r="83" spans="1:14" ht="27.6" x14ac:dyDescent="0.25">
      <c r="A83" s="66" t="s">
        <v>25</v>
      </c>
      <c r="B83" s="11" t="s">
        <v>551</v>
      </c>
      <c r="C83" s="11" t="s">
        <v>552</v>
      </c>
      <c r="D83" s="11"/>
      <c r="E83" s="11"/>
      <c r="F83" s="11"/>
    </row>
    <row r="84" spans="1:14" x14ac:dyDescent="0.25">
      <c r="A84" s="46" t="s">
        <v>26</v>
      </c>
      <c r="B84" s="15"/>
      <c r="C84" s="34"/>
      <c r="D84" s="25"/>
      <c r="E84" s="24"/>
      <c r="F84" s="25"/>
    </row>
    <row r="85" spans="1:14" s="6" customFormat="1" x14ac:dyDescent="0.25">
      <c r="A85" s="50" t="s">
        <v>553</v>
      </c>
      <c r="B85" s="4" t="s">
        <v>128</v>
      </c>
      <c r="C85" s="25">
        <v>1</v>
      </c>
      <c r="D85" s="25"/>
      <c r="E85" s="24"/>
      <c r="F85" s="25"/>
    </row>
    <row r="86" spans="1:14" ht="15.6" x14ac:dyDescent="0.25">
      <c r="A86" s="4" t="s">
        <v>130</v>
      </c>
      <c r="B86" s="4" t="s">
        <v>131</v>
      </c>
      <c r="C86" s="23">
        <f>(20/26280000)*(300+840)</f>
        <v>8.6757990867579904E-4</v>
      </c>
      <c r="D86" s="143"/>
      <c r="E86" s="78" t="s">
        <v>325</v>
      </c>
      <c r="F86" s="78"/>
    </row>
    <row r="87" spans="1:14" x14ac:dyDescent="0.25">
      <c r="A87" s="4" t="s">
        <v>134</v>
      </c>
      <c r="B87" s="4" t="s">
        <v>125</v>
      </c>
      <c r="C87" s="23">
        <f>($C$21/1570)*(300+840)</f>
        <v>0.15833333333333333</v>
      </c>
      <c r="D87" s="146"/>
      <c r="E87" s="78" t="s">
        <v>135</v>
      </c>
      <c r="F87" s="25"/>
      <c r="G87" s="6"/>
      <c r="H87" s="6"/>
      <c r="I87" s="6"/>
      <c r="J87" s="6"/>
      <c r="K87" s="6"/>
      <c r="L87" s="6"/>
      <c r="M87" s="6"/>
      <c r="N87" s="6"/>
    </row>
    <row r="88" spans="1:14" x14ac:dyDescent="0.25">
      <c r="A88" s="70" t="s">
        <v>182</v>
      </c>
      <c r="B88" s="4" t="s">
        <v>33</v>
      </c>
      <c r="C88" s="121"/>
      <c r="D88" s="172">
        <f>('Sachbilanz Autotür'!D111/7592.6)*12974.91</f>
        <v>1.0822963148328635</v>
      </c>
      <c r="E88" s="78" t="s">
        <v>554</v>
      </c>
      <c r="F88" s="78"/>
    </row>
    <row r="89" spans="1:14" x14ac:dyDescent="0.25">
      <c r="A89" s="4" t="s">
        <v>186</v>
      </c>
      <c r="B89" s="4" t="s">
        <v>33</v>
      </c>
      <c r="C89" s="165">
        <f>Allokationen!E77</f>
        <v>26.305990687670892</v>
      </c>
      <c r="D89" s="168"/>
      <c r="E89" s="78" t="s">
        <v>137</v>
      </c>
      <c r="F89" s="78"/>
    </row>
    <row r="90" spans="1:14" x14ac:dyDescent="0.25">
      <c r="A90" s="70" t="s">
        <v>138</v>
      </c>
      <c r="B90" s="4" t="s">
        <v>33</v>
      </c>
      <c r="C90" s="169">
        <f>Allokationen!F77</f>
        <v>72.761250838238638</v>
      </c>
      <c r="D90" s="168"/>
      <c r="E90" s="78" t="s">
        <v>137</v>
      </c>
      <c r="F90" s="78"/>
    </row>
    <row r="91" spans="1:14" ht="179.4" x14ac:dyDescent="0.25">
      <c r="A91" s="4" t="s">
        <v>187</v>
      </c>
      <c r="B91" s="4" t="s">
        <v>188</v>
      </c>
      <c r="C91" s="23">
        <f>10*300+1*333</f>
        <v>3333</v>
      </c>
      <c r="D91" s="80"/>
      <c r="E91" s="78" t="s">
        <v>555</v>
      </c>
      <c r="F91" s="78" t="s">
        <v>190</v>
      </c>
    </row>
    <row r="92" spans="1:14" ht="41.4" x14ac:dyDescent="0.25">
      <c r="A92" s="4" t="s">
        <v>191</v>
      </c>
      <c r="B92" s="4" t="s">
        <v>144</v>
      </c>
      <c r="C92" s="73">
        <f>0.1*10.074</f>
        <v>1.0074000000000001</v>
      </c>
      <c r="D92" s="34"/>
      <c r="E92" s="78" t="s">
        <v>192</v>
      </c>
      <c r="F92" s="78"/>
    </row>
    <row r="93" spans="1:14" ht="112.5" customHeight="1" x14ac:dyDescent="0.25">
      <c r="A93" s="4" t="s">
        <v>193</v>
      </c>
      <c r="B93" s="4" t="s">
        <v>144</v>
      </c>
      <c r="C93" s="73">
        <f>5*5.6</f>
        <v>28</v>
      </c>
      <c r="D93" s="34"/>
      <c r="E93" s="78" t="s">
        <v>556</v>
      </c>
      <c r="F93" s="78"/>
    </row>
    <row r="94" spans="1:14" ht="27.6" x14ac:dyDescent="0.25">
      <c r="A94" s="4" t="s">
        <v>195</v>
      </c>
      <c r="B94" s="4" t="s">
        <v>144</v>
      </c>
      <c r="C94" s="73">
        <f>19*5.6</f>
        <v>106.39999999999999</v>
      </c>
      <c r="D94" s="34"/>
      <c r="E94" s="142" t="s">
        <v>557</v>
      </c>
      <c r="F94" s="78"/>
    </row>
    <row r="95" spans="1:14" ht="69" x14ac:dyDescent="0.25">
      <c r="A95" s="2" t="s">
        <v>197</v>
      </c>
      <c r="B95" s="4" t="s">
        <v>128</v>
      </c>
      <c r="C95" s="73">
        <v>3</v>
      </c>
      <c r="D95" s="25"/>
      <c r="E95" s="78" t="s">
        <v>558</v>
      </c>
      <c r="F95" s="24"/>
    </row>
    <row r="96" spans="1:14" ht="82.8" x14ac:dyDescent="0.25">
      <c r="A96" s="70" t="s">
        <v>199</v>
      </c>
      <c r="B96" s="4" t="s">
        <v>144</v>
      </c>
      <c r="C96" s="73">
        <v>15</v>
      </c>
      <c r="D96" s="25"/>
      <c r="E96" s="78" t="s">
        <v>559</v>
      </c>
      <c r="F96" s="78" t="s">
        <v>201</v>
      </c>
    </row>
    <row r="97" spans="1:6" s="6" customFormat="1" ht="82.8" x14ac:dyDescent="0.25">
      <c r="A97" s="4" t="s">
        <v>202</v>
      </c>
      <c r="B97" s="3" t="s">
        <v>144</v>
      </c>
      <c r="C97" s="73">
        <f>0.1*28.57</f>
        <v>2.8570000000000002</v>
      </c>
      <c r="D97" s="33"/>
      <c r="E97" s="78" t="s">
        <v>203</v>
      </c>
      <c r="F97" s="78" t="s">
        <v>204</v>
      </c>
    </row>
    <row r="98" spans="1:6" s="6" customFormat="1" ht="55.2" x14ac:dyDescent="0.25">
      <c r="A98" s="4" t="s">
        <v>69</v>
      </c>
      <c r="B98" s="3" t="s">
        <v>144</v>
      </c>
      <c r="C98" s="73">
        <f>(0.7*(133.7-9.4))*1.5</f>
        <v>130.51499999999996</v>
      </c>
      <c r="D98" s="33"/>
      <c r="E98" s="78" t="s">
        <v>560</v>
      </c>
      <c r="F98" s="78"/>
    </row>
    <row r="99" spans="1:6" s="6" customFormat="1" ht="55.2" x14ac:dyDescent="0.25">
      <c r="A99" s="4" t="s">
        <v>206</v>
      </c>
      <c r="B99" s="3" t="s">
        <v>144</v>
      </c>
      <c r="C99" s="73">
        <f>0.02*C98</f>
        <v>2.6102999999999992</v>
      </c>
      <c r="D99" s="33"/>
      <c r="E99" s="78" t="s">
        <v>446</v>
      </c>
      <c r="F99" s="78"/>
    </row>
    <row r="100" spans="1:6" s="6" customFormat="1" ht="41.4" x14ac:dyDescent="0.25">
      <c r="A100" s="4" t="s">
        <v>208</v>
      </c>
      <c r="B100" s="3" t="s">
        <v>144</v>
      </c>
      <c r="C100" s="73">
        <f>(1/50)*11</f>
        <v>0.22</v>
      </c>
      <c r="D100" s="33"/>
      <c r="E100" s="78" t="s">
        <v>209</v>
      </c>
      <c r="F100" s="78"/>
    </row>
    <row r="101" spans="1:6" s="6" customFormat="1" x14ac:dyDescent="0.25">
      <c r="A101" s="4" t="s">
        <v>210</v>
      </c>
      <c r="B101" s="3" t="s">
        <v>144</v>
      </c>
      <c r="C101" s="73">
        <v>1</v>
      </c>
      <c r="D101" s="33"/>
      <c r="E101" s="78" t="s">
        <v>211</v>
      </c>
      <c r="F101" s="78"/>
    </row>
    <row r="102" spans="1:6" s="6" customFormat="1" ht="309" x14ac:dyDescent="0.25">
      <c r="A102" s="4" t="s">
        <v>212</v>
      </c>
      <c r="B102" s="3" t="s">
        <v>144</v>
      </c>
      <c r="C102" s="73">
        <f>(122.21+217.3+465.3)*3.8*0.00886</f>
        <v>27.096343079999997</v>
      </c>
      <c r="D102" s="33"/>
      <c r="E102" s="78" t="s">
        <v>561</v>
      </c>
      <c r="F102" s="78"/>
    </row>
    <row r="103" spans="1:6" s="6" customFormat="1" ht="276" x14ac:dyDescent="0.25">
      <c r="A103" s="4" t="s">
        <v>76</v>
      </c>
      <c r="B103" s="3" t="s">
        <v>144</v>
      </c>
      <c r="C103" s="73">
        <f>((1188.47+2656.36)/10000)*80</f>
        <v>30.75864</v>
      </c>
      <c r="D103" s="33"/>
      <c r="E103" s="78" t="s">
        <v>562</v>
      </c>
      <c r="F103" s="83" t="s">
        <v>215</v>
      </c>
    </row>
    <row r="104" spans="1:6" s="6" customFormat="1" ht="289.8" x14ac:dyDescent="0.25">
      <c r="A104" s="4" t="s">
        <v>451</v>
      </c>
      <c r="B104" s="3" t="s">
        <v>144</v>
      </c>
      <c r="C104" s="73">
        <f>255.98*0.915</f>
        <v>234.2217</v>
      </c>
      <c r="D104" s="33"/>
      <c r="E104" s="78" t="s">
        <v>563</v>
      </c>
      <c r="F104" s="24" t="s">
        <v>564</v>
      </c>
    </row>
    <row r="105" spans="1:6" s="6" customFormat="1" ht="42" customHeight="1" x14ac:dyDescent="0.25">
      <c r="A105" s="4" t="s">
        <v>216</v>
      </c>
      <c r="B105" s="3" t="s">
        <v>144</v>
      </c>
      <c r="C105" s="73">
        <f>2*8.4</f>
        <v>16.8</v>
      </c>
      <c r="D105" s="33"/>
      <c r="E105" s="78" t="s">
        <v>217</v>
      </c>
      <c r="F105" s="24"/>
    </row>
    <row r="106" spans="1:6" s="6" customFormat="1" ht="41.4" x14ac:dyDescent="0.25">
      <c r="A106" s="4" t="s">
        <v>218</v>
      </c>
      <c r="B106" s="3" t="s">
        <v>219</v>
      </c>
      <c r="C106" s="73">
        <v>247.79</v>
      </c>
      <c r="D106" s="33"/>
      <c r="E106" s="78" t="s">
        <v>565</v>
      </c>
      <c r="F106" s="78" t="s">
        <v>221</v>
      </c>
    </row>
    <row r="107" spans="1:6" s="6" customFormat="1" ht="124.2" x14ac:dyDescent="0.25">
      <c r="A107" s="4" t="s">
        <v>222</v>
      </c>
      <c r="B107" s="3" t="s">
        <v>219</v>
      </c>
      <c r="C107" s="73">
        <v>341.78</v>
      </c>
      <c r="D107" s="33"/>
      <c r="E107" s="78" t="s">
        <v>566</v>
      </c>
      <c r="F107" s="78" t="s">
        <v>224</v>
      </c>
    </row>
    <row r="108" spans="1:6" s="6" customFormat="1" ht="55.2" x14ac:dyDescent="0.25">
      <c r="A108" s="4" t="s">
        <v>225</v>
      </c>
      <c r="B108" s="3" t="s">
        <v>219</v>
      </c>
      <c r="C108" s="73">
        <v>85.44</v>
      </c>
      <c r="D108" s="33"/>
      <c r="E108" s="78" t="s">
        <v>567</v>
      </c>
      <c r="F108" s="78" t="s">
        <v>227</v>
      </c>
    </row>
    <row r="109" spans="1:6" s="6" customFormat="1" ht="41.4" x14ac:dyDescent="0.25">
      <c r="A109" s="4" t="s">
        <v>228</v>
      </c>
      <c r="B109" s="3" t="s">
        <v>219</v>
      </c>
      <c r="C109" s="73">
        <v>42.72</v>
      </c>
      <c r="D109" s="33"/>
      <c r="E109" s="78" t="s">
        <v>568</v>
      </c>
      <c r="F109" s="78" t="s">
        <v>227</v>
      </c>
    </row>
    <row r="110" spans="1:6" s="6" customFormat="1" ht="69" x14ac:dyDescent="0.25">
      <c r="A110" s="4" t="s">
        <v>230</v>
      </c>
      <c r="B110" s="3" t="s">
        <v>344</v>
      </c>
      <c r="C110" s="73">
        <v>18</v>
      </c>
      <c r="D110" s="33"/>
      <c r="E110" s="78" t="s">
        <v>231</v>
      </c>
      <c r="F110" s="78" t="s">
        <v>232</v>
      </c>
    </row>
    <row r="111" spans="1:6" s="6" customFormat="1" x14ac:dyDescent="0.25">
      <c r="A111" s="70"/>
      <c r="B111" s="4"/>
      <c r="C111" s="99"/>
      <c r="D111" s="33"/>
      <c r="E111" s="78"/>
      <c r="F111" s="78"/>
    </row>
    <row r="112" spans="1:6" s="63" customFormat="1" x14ac:dyDescent="0.25">
      <c r="A112" s="72" t="s">
        <v>35</v>
      </c>
      <c r="B112" s="56"/>
      <c r="C112" s="101"/>
      <c r="D112" s="57"/>
      <c r="E112" s="82"/>
      <c r="F112" s="78"/>
    </row>
    <row r="113" spans="1:14" s="6" customFormat="1" x14ac:dyDescent="0.25">
      <c r="A113" s="4" t="s">
        <v>569</v>
      </c>
      <c r="B113" s="4" t="s">
        <v>37</v>
      </c>
      <c r="C113" s="99">
        <v>1</v>
      </c>
      <c r="D113" s="33"/>
      <c r="E113" s="78"/>
      <c r="F113" s="78"/>
    </row>
    <row r="114" spans="1:14" ht="41.4" x14ac:dyDescent="0.25">
      <c r="A114" s="2" t="s">
        <v>234</v>
      </c>
      <c r="B114" s="4" t="s">
        <v>144</v>
      </c>
      <c r="C114" s="73">
        <v>18.59</v>
      </c>
      <c r="D114" s="25"/>
      <c r="E114" s="78" t="s">
        <v>570</v>
      </c>
      <c r="F114" s="78" t="s">
        <v>236</v>
      </c>
    </row>
    <row r="115" spans="1:14" ht="41.4" x14ac:dyDescent="0.25">
      <c r="A115" s="2" t="s">
        <v>237</v>
      </c>
      <c r="B115" s="4" t="s">
        <v>144</v>
      </c>
      <c r="C115" s="73">
        <v>6.66</v>
      </c>
      <c r="D115" s="25"/>
      <c r="E115" s="78" t="s">
        <v>571</v>
      </c>
      <c r="F115" s="78" t="s">
        <v>236</v>
      </c>
    </row>
    <row r="116" spans="1:14" s="6" customFormat="1" ht="41.4" x14ac:dyDescent="0.25">
      <c r="A116" s="4" t="s">
        <v>240</v>
      </c>
      <c r="B116" s="4" t="s">
        <v>144</v>
      </c>
      <c r="C116" s="99"/>
      <c r="D116" s="33"/>
      <c r="E116" s="121" t="s">
        <v>241</v>
      </c>
      <c r="F116" s="78" t="s">
        <v>236</v>
      </c>
    </row>
    <row r="117" spans="1:14" s="6" customFormat="1" ht="41.4" x14ac:dyDescent="0.25">
      <c r="A117" s="4" t="s">
        <v>242</v>
      </c>
      <c r="B117" s="4" t="s">
        <v>144</v>
      </c>
      <c r="C117" s="23">
        <f>C92</f>
        <v>1.0074000000000001</v>
      </c>
      <c r="D117" s="33"/>
      <c r="E117" s="78"/>
      <c r="F117" s="78" t="s">
        <v>236</v>
      </c>
    </row>
    <row r="118" spans="1:14" ht="82.8" x14ac:dyDescent="0.25">
      <c r="A118" s="4" t="s">
        <v>572</v>
      </c>
      <c r="B118" s="4" t="s">
        <v>144</v>
      </c>
      <c r="C118" s="73">
        <f>(5+19)*6.55</f>
        <v>157.19999999999999</v>
      </c>
      <c r="D118" s="34"/>
      <c r="E118" s="78" t="s">
        <v>244</v>
      </c>
      <c r="F118" s="78" t="s">
        <v>236</v>
      </c>
    </row>
    <row r="119" spans="1:14" ht="41.4" x14ac:dyDescent="0.25">
      <c r="A119" s="2" t="s">
        <v>246</v>
      </c>
      <c r="B119" s="4" t="s">
        <v>144</v>
      </c>
      <c r="C119" s="23">
        <f>C95*7.8</f>
        <v>23.4</v>
      </c>
      <c r="D119" s="25"/>
      <c r="E119" s="78" t="s">
        <v>198</v>
      </c>
      <c r="F119" s="78" t="s">
        <v>236</v>
      </c>
    </row>
    <row r="120" spans="1:14" ht="29.4" customHeight="1" x14ac:dyDescent="0.25">
      <c r="A120" s="2" t="s">
        <v>247</v>
      </c>
      <c r="B120" s="4" t="s">
        <v>144</v>
      </c>
      <c r="C120" s="23">
        <f>C97</f>
        <v>2.8570000000000002</v>
      </c>
      <c r="D120" s="25"/>
      <c r="E120" s="78"/>
      <c r="F120" s="78" t="s">
        <v>163</v>
      </c>
    </row>
    <row r="121" spans="1:14" ht="54.9" customHeight="1" x14ac:dyDescent="0.25">
      <c r="A121" s="2" t="s">
        <v>248</v>
      </c>
      <c r="B121" s="4" t="s">
        <v>144</v>
      </c>
      <c r="C121" s="23">
        <f>C100</f>
        <v>0.22</v>
      </c>
      <c r="D121" s="25"/>
      <c r="E121" s="78"/>
      <c r="F121" s="78" t="s">
        <v>158</v>
      </c>
    </row>
    <row r="122" spans="1:14" ht="26.25" customHeight="1" x14ac:dyDescent="0.25">
      <c r="A122" s="2" t="s">
        <v>249</v>
      </c>
      <c r="B122" s="4" t="s">
        <v>344</v>
      </c>
      <c r="C122" s="23">
        <f>C110</f>
        <v>18</v>
      </c>
      <c r="D122" s="25"/>
      <c r="E122" s="78"/>
      <c r="F122" s="78" t="s">
        <v>250</v>
      </c>
    </row>
    <row r="123" spans="1:14" ht="55.2" x14ac:dyDescent="0.25">
      <c r="A123" s="2" t="s">
        <v>251</v>
      </c>
      <c r="B123" s="4" t="s">
        <v>144</v>
      </c>
      <c r="C123" s="73">
        <f>C105</f>
        <v>16.8</v>
      </c>
      <c r="D123" s="25"/>
      <c r="E123" s="78" t="s">
        <v>252</v>
      </c>
      <c r="F123" s="78" t="s">
        <v>253</v>
      </c>
    </row>
    <row r="124" spans="1:14" s="6" customFormat="1" ht="69" x14ac:dyDescent="0.25">
      <c r="A124" s="4" t="s">
        <v>460</v>
      </c>
      <c r="B124" s="4" t="s">
        <v>144</v>
      </c>
      <c r="C124" s="73">
        <f>12.9749*0.915</f>
        <v>11.872033500000001</v>
      </c>
      <c r="D124" s="33"/>
      <c r="E124" s="78" t="s">
        <v>573</v>
      </c>
      <c r="F124" s="78" t="s">
        <v>158</v>
      </c>
      <c r="G124" s="1"/>
      <c r="H124" s="1"/>
      <c r="I124" s="1"/>
      <c r="J124" s="1"/>
      <c r="K124" s="1"/>
      <c r="L124" s="1"/>
      <c r="M124" s="1"/>
      <c r="N124" s="1"/>
    </row>
    <row r="125" spans="1:14" ht="24.9" customHeight="1" thickBot="1" x14ac:dyDescent="0.3">
      <c r="A125" s="4" t="s">
        <v>255</v>
      </c>
      <c r="B125" s="4" t="s">
        <v>156</v>
      </c>
      <c r="C125" s="23">
        <f>0.1*(((SUM(C106:C109)/1.36)/1000)*600)</f>
        <v>31.664558823529418</v>
      </c>
      <c r="D125" s="34"/>
      <c r="E125" s="78" t="s">
        <v>462</v>
      </c>
      <c r="F125" s="175"/>
    </row>
    <row r="126" spans="1:14" x14ac:dyDescent="0.25">
      <c r="A126" s="16"/>
      <c r="B126" s="15"/>
      <c r="C126" s="25"/>
      <c r="D126" s="25"/>
      <c r="E126" s="24"/>
      <c r="F126" s="25"/>
    </row>
    <row r="127" spans="1:14" x14ac:dyDescent="0.25">
      <c r="A127" s="48" t="s">
        <v>544</v>
      </c>
      <c r="B127" s="15"/>
      <c r="C127" s="25"/>
      <c r="D127" s="25"/>
      <c r="E127" s="24"/>
      <c r="F127" s="25"/>
    </row>
    <row r="128" spans="1:14" x14ac:dyDescent="0.25">
      <c r="A128" s="16"/>
      <c r="B128" s="15"/>
      <c r="C128" s="25"/>
      <c r="D128" s="25"/>
      <c r="E128" s="24"/>
      <c r="F128" s="25"/>
    </row>
    <row r="129" spans="1:6" x14ac:dyDescent="0.25">
      <c r="A129" s="16"/>
      <c r="B129" s="15"/>
      <c r="C129" s="25"/>
      <c r="D129" s="25"/>
      <c r="E129" s="24"/>
      <c r="F129" s="25"/>
    </row>
    <row r="130" spans="1:6" ht="27.6" x14ac:dyDescent="0.25">
      <c r="A130" s="10" t="s">
        <v>574</v>
      </c>
      <c r="B130" s="11" t="s">
        <v>10</v>
      </c>
      <c r="C130" s="11" t="s">
        <v>1</v>
      </c>
      <c r="D130" s="11" t="s">
        <v>12</v>
      </c>
      <c r="E130" s="35" t="s">
        <v>13</v>
      </c>
      <c r="F130" s="35"/>
    </row>
    <row r="131" spans="1:6" ht="70.5" customHeight="1" x14ac:dyDescent="0.25">
      <c r="A131" s="66" t="s">
        <v>177</v>
      </c>
      <c r="B131" s="216" t="s">
        <v>575</v>
      </c>
      <c r="C131" s="217"/>
      <c r="D131" s="217"/>
      <c r="E131" s="218"/>
      <c r="F131" s="11"/>
    </row>
    <row r="132" spans="1:6" x14ac:dyDescent="0.25">
      <c r="A132" s="66" t="s">
        <v>22</v>
      </c>
      <c r="B132" s="11"/>
      <c r="C132" s="11"/>
      <c r="D132" s="11"/>
      <c r="E132" s="11"/>
      <c r="F132" s="11"/>
    </row>
    <row r="133" spans="1:6" x14ac:dyDescent="0.25">
      <c r="A133" s="66" t="s">
        <v>25</v>
      </c>
      <c r="B133" s="11" t="s">
        <v>115</v>
      </c>
      <c r="C133" s="11">
        <v>155</v>
      </c>
      <c r="D133" s="11"/>
      <c r="E133" s="11" t="s">
        <v>576</v>
      </c>
      <c r="F133" s="11"/>
    </row>
    <row r="134" spans="1:6" x14ac:dyDescent="0.25">
      <c r="A134" s="46" t="s">
        <v>26</v>
      </c>
      <c r="B134" s="15"/>
      <c r="C134" s="34"/>
      <c r="D134" s="25"/>
      <c r="E134" s="24"/>
      <c r="F134" s="25"/>
    </row>
    <row r="135" spans="1:6" s="6" customFormat="1" x14ac:dyDescent="0.25">
      <c r="A135" s="4" t="s">
        <v>569</v>
      </c>
      <c r="B135" s="4" t="s">
        <v>128</v>
      </c>
      <c r="C135" s="33">
        <v>1</v>
      </c>
      <c r="D135" s="25"/>
      <c r="E135" s="24"/>
      <c r="F135" s="25"/>
    </row>
    <row r="136" spans="1:6" ht="15.6" x14ac:dyDescent="0.25">
      <c r="A136" s="4" t="s">
        <v>130</v>
      </c>
      <c r="B136" s="4" t="s">
        <v>131</v>
      </c>
      <c r="C136" s="23">
        <f>(10/26280000)*(155)</f>
        <v>5.8980213089802132E-5</v>
      </c>
      <c r="D136" s="143"/>
      <c r="E136" s="78" t="s">
        <v>466</v>
      </c>
      <c r="F136" s="25"/>
    </row>
    <row r="137" spans="1:6" x14ac:dyDescent="0.25">
      <c r="A137" s="4" t="s">
        <v>134</v>
      </c>
      <c r="B137" s="4" t="s">
        <v>125</v>
      </c>
      <c r="C137" s="23">
        <f>($C$21/1570)*C133</f>
        <v>2.1527777777777778E-2</v>
      </c>
      <c r="D137" s="146"/>
      <c r="E137" s="78" t="s">
        <v>135</v>
      </c>
      <c r="F137" s="25"/>
    </row>
    <row r="138" spans="1:6" x14ac:dyDescent="0.25">
      <c r="A138" s="4" t="s">
        <v>286</v>
      </c>
      <c r="B138" s="4" t="s">
        <v>33</v>
      </c>
      <c r="C138" s="168"/>
      <c r="D138" s="167">
        <v>3.3000000000000002E-2</v>
      </c>
      <c r="E138" s="78" t="s">
        <v>467</v>
      </c>
      <c r="F138" s="25"/>
    </row>
    <row r="139" spans="1:6" ht="27.6" x14ac:dyDescent="0.25">
      <c r="A139" s="4" t="s">
        <v>577</v>
      </c>
      <c r="B139" s="4" t="s">
        <v>33</v>
      </c>
      <c r="C139" s="169">
        <f>Allokationen!E78</f>
        <v>18.421979099059659</v>
      </c>
      <c r="D139" s="25"/>
      <c r="E139" s="78" t="s">
        <v>289</v>
      </c>
      <c r="F139" s="25"/>
    </row>
    <row r="140" spans="1:6" ht="27.6" x14ac:dyDescent="0.25">
      <c r="A140" s="4" t="s">
        <v>399</v>
      </c>
      <c r="B140" s="4" t="s">
        <v>33</v>
      </c>
      <c r="C140" s="169">
        <f>Allokationen!F78</f>
        <v>50.954410273994796</v>
      </c>
      <c r="D140" s="25"/>
      <c r="E140" s="78" t="s">
        <v>289</v>
      </c>
      <c r="F140" s="152"/>
    </row>
    <row r="141" spans="1:6" ht="177" customHeight="1" x14ac:dyDescent="0.25">
      <c r="A141" s="4" t="s">
        <v>291</v>
      </c>
      <c r="B141" s="4" t="s">
        <v>188</v>
      </c>
      <c r="C141" s="23">
        <f>28*300</f>
        <v>8400</v>
      </c>
      <c r="D141" s="80"/>
      <c r="E141" s="78" t="s">
        <v>578</v>
      </c>
      <c r="F141" s="78" t="s">
        <v>190</v>
      </c>
    </row>
    <row r="142" spans="1:6" ht="27.6" x14ac:dyDescent="0.25">
      <c r="A142" s="4" t="s">
        <v>293</v>
      </c>
      <c r="B142" s="4" t="s">
        <v>350</v>
      </c>
      <c r="C142" s="23">
        <f>((80*1+15*2+3*3+2*4)/100)*15.5</f>
        <v>19.684999999999999</v>
      </c>
      <c r="D142" s="34"/>
      <c r="E142" s="78" t="s">
        <v>294</v>
      </c>
      <c r="F142" s="24"/>
    </row>
    <row r="143" spans="1:6" x14ac:dyDescent="0.25">
      <c r="A143" s="4" t="s">
        <v>86</v>
      </c>
      <c r="B143" s="4" t="s">
        <v>295</v>
      </c>
      <c r="C143" s="73">
        <v>475</v>
      </c>
      <c r="D143" s="34"/>
      <c r="E143" s="78" t="s">
        <v>579</v>
      </c>
      <c r="F143" s="24"/>
    </row>
    <row r="144" spans="1:6" x14ac:dyDescent="0.25">
      <c r="A144" s="4" t="s">
        <v>297</v>
      </c>
      <c r="B144" s="4" t="s">
        <v>295</v>
      </c>
      <c r="C144" s="73">
        <v>400</v>
      </c>
      <c r="D144" s="34"/>
      <c r="E144" s="78" t="s">
        <v>579</v>
      </c>
      <c r="F144" s="24"/>
    </row>
    <row r="145" spans="1:6" ht="69" x14ac:dyDescent="0.25">
      <c r="A145" s="4" t="s">
        <v>299</v>
      </c>
      <c r="B145" s="4" t="s">
        <v>144</v>
      </c>
      <c r="C145" s="73">
        <f>124/10</f>
        <v>12.4</v>
      </c>
      <c r="D145" s="34"/>
      <c r="E145" s="78" t="s">
        <v>300</v>
      </c>
      <c r="F145" s="78" t="s">
        <v>301</v>
      </c>
    </row>
    <row r="146" spans="1:6" ht="41.4" x14ac:dyDescent="0.25">
      <c r="A146" s="2" t="s">
        <v>302</v>
      </c>
      <c r="B146" s="4" t="s">
        <v>144</v>
      </c>
      <c r="C146" s="34">
        <f>1/(8*21*2)*1000</f>
        <v>2.9761904761904758</v>
      </c>
      <c r="D146" s="34"/>
      <c r="E146" s="78" t="s">
        <v>510</v>
      </c>
      <c r="F146" s="24"/>
    </row>
    <row r="147" spans="1:6" x14ac:dyDescent="0.25">
      <c r="A147" s="2" t="s">
        <v>304</v>
      </c>
      <c r="B147" s="4" t="s">
        <v>144</v>
      </c>
      <c r="C147" s="34">
        <f>1/(8*21*2)*1000</f>
        <v>2.9761904761904758</v>
      </c>
      <c r="D147" s="34"/>
      <c r="E147" s="78"/>
      <c r="F147" s="24"/>
    </row>
    <row r="148" spans="1:6" x14ac:dyDescent="0.25">
      <c r="A148" s="16"/>
      <c r="B148" s="4"/>
      <c r="C148" s="34"/>
      <c r="D148" s="25"/>
      <c r="E148" s="24"/>
      <c r="F148" s="24"/>
    </row>
    <row r="149" spans="1:6" x14ac:dyDescent="0.25">
      <c r="A149" s="48" t="s">
        <v>35</v>
      </c>
      <c r="B149" s="4"/>
      <c r="C149" s="25"/>
      <c r="D149" s="25"/>
      <c r="E149" s="24"/>
      <c r="F149" s="24"/>
    </row>
    <row r="150" spans="1:6" x14ac:dyDescent="0.25">
      <c r="A150" s="4" t="s">
        <v>580</v>
      </c>
      <c r="B150" s="98" t="s">
        <v>539</v>
      </c>
      <c r="C150" s="34">
        <v>1</v>
      </c>
      <c r="D150" s="25"/>
      <c r="E150" s="24"/>
      <c r="F150" s="24"/>
    </row>
    <row r="151" spans="1:6" ht="55.2" x14ac:dyDescent="0.25">
      <c r="A151" s="2" t="s">
        <v>306</v>
      </c>
      <c r="B151" s="4"/>
      <c r="C151" s="73">
        <f>C142</f>
        <v>19.684999999999999</v>
      </c>
      <c r="D151" s="25"/>
      <c r="E151" s="121"/>
      <c r="F151" s="78" t="s">
        <v>253</v>
      </c>
    </row>
    <row r="152" spans="1:6" ht="55.2" x14ac:dyDescent="0.25">
      <c r="A152" s="2" t="s">
        <v>308</v>
      </c>
      <c r="B152" s="4" t="s">
        <v>144</v>
      </c>
      <c r="C152" s="73">
        <f>C103</f>
        <v>30.75864</v>
      </c>
      <c r="D152" s="25"/>
      <c r="E152" s="78" t="s">
        <v>473</v>
      </c>
      <c r="F152" s="78" t="s">
        <v>253</v>
      </c>
    </row>
    <row r="153" spans="1:6" ht="45" customHeight="1" x14ac:dyDescent="0.25">
      <c r="A153" s="2" t="s">
        <v>310</v>
      </c>
      <c r="B153" s="3" t="s">
        <v>144</v>
      </c>
      <c r="C153" s="73">
        <f>C102</f>
        <v>27.096343079999997</v>
      </c>
      <c r="D153" s="25"/>
      <c r="E153" s="78" t="s">
        <v>311</v>
      </c>
      <c r="F153" s="78" t="s">
        <v>253</v>
      </c>
    </row>
    <row r="154" spans="1:6" ht="55.2" x14ac:dyDescent="0.25">
      <c r="A154" s="4" t="s">
        <v>474</v>
      </c>
      <c r="B154" s="4" t="s">
        <v>144</v>
      </c>
      <c r="C154" s="73">
        <f>C104-C124</f>
        <v>222.34966650000001</v>
      </c>
      <c r="D154" s="34"/>
      <c r="E154" s="78" t="s">
        <v>311</v>
      </c>
      <c r="F154" s="78" t="s">
        <v>253</v>
      </c>
    </row>
    <row r="155" spans="1:6" ht="55.2" x14ac:dyDescent="0.25">
      <c r="A155" s="4" t="s">
        <v>312</v>
      </c>
      <c r="B155" s="4" t="s">
        <v>144</v>
      </c>
      <c r="C155" s="23">
        <f>C145</f>
        <v>12.4</v>
      </c>
      <c r="D155" s="34"/>
      <c r="E155" s="78" t="s">
        <v>311</v>
      </c>
      <c r="F155" s="78" t="s">
        <v>253</v>
      </c>
    </row>
    <row r="156" spans="1:6" ht="14.4" thickBot="1" x14ac:dyDescent="0.3">
      <c r="A156" s="4" t="s">
        <v>255</v>
      </c>
      <c r="B156" s="4" t="s">
        <v>156</v>
      </c>
      <c r="C156" s="23">
        <f>0.1* (((C143/1.028)/1000)*850+((C144/0.982)/1000)*650)</f>
        <v>65.751870240199068</v>
      </c>
      <c r="D156" s="34"/>
      <c r="E156" s="78" t="s">
        <v>475</v>
      </c>
      <c r="F156" s="175"/>
    </row>
    <row r="157" spans="1:6" x14ac:dyDescent="0.25">
      <c r="A157" s="16"/>
      <c r="B157" s="15"/>
      <c r="C157" s="25"/>
      <c r="D157" s="25"/>
      <c r="E157" s="24"/>
      <c r="F157" s="151"/>
    </row>
    <row r="158" spans="1:6" x14ac:dyDescent="0.25">
      <c r="A158" s="48" t="s">
        <v>544</v>
      </c>
      <c r="B158" s="15"/>
      <c r="C158" s="25"/>
      <c r="D158" s="25"/>
      <c r="E158" s="24"/>
      <c r="F158" s="151"/>
    </row>
    <row r="159" spans="1:6" x14ac:dyDescent="0.25">
      <c r="A159" s="16"/>
      <c r="B159" s="3"/>
      <c r="C159" s="25"/>
      <c r="D159" s="25"/>
      <c r="E159" s="24"/>
      <c r="F159" s="151"/>
    </row>
    <row r="160" spans="1:6" x14ac:dyDescent="0.25">
      <c r="A160" s="16"/>
      <c r="B160" s="3"/>
      <c r="C160" s="25"/>
      <c r="D160" s="25"/>
      <c r="E160" s="24"/>
      <c r="F160" s="151"/>
    </row>
    <row r="161" spans="1:6" ht="27.6" x14ac:dyDescent="0.25">
      <c r="A161" s="10" t="s">
        <v>581</v>
      </c>
      <c r="B161" s="11" t="s">
        <v>10</v>
      </c>
      <c r="C161" s="11" t="s">
        <v>1</v>
      </c>
      <c r="D161" s="11" t="s">
        <v>12</v>
      </c>
      <c r="E161" s="35" t="s">
        <v>13</v>
      </c>
      <c r="F161" s="35"/>
    </row>
    <row r="162" spans="1:6" ht="27" customHeight="1" x14ac:dyDescent="0.25">
      <c r="A162" s="66" t="s">
        <v>177</v>
      </c>
      <c r="B162" s="216" t="s">
        <v>582</v>
      </c>
      <c r="C162" s="217"/>
      <c r="D162" s="217"/>
      <c r="E162" s="218"/>
      <c r="F162" s="11"/>
    </row>
    <row r="163" spans="1:6" x14ac:dyDescent="0.25">
      <c r="A163" s="66" t="s">
        <v>22</v>
      </c>
      <c r="B163" s="11"/>
      <c r="C163" s="11"/>
      <c r="D163" s="11"/>
      <c r="E163" s="11"/>
      <c r="F163" s="11"/>
    </row>
    <row r="164" spans="1:6" x14ac:dyDescent="0.25">
      <c r="A164" s="66" t="s">
        <v>25</v>
      </c>
      <c r="B164" s="11" t="s">
        <v>115</v>
      </c>
      <c r="C164" s="11">
        <v>20</v>
      </c>
      <c r="D164" s="11"/>
      <c r="E164" s="11"/>
      <c r="F164" s="11"/>
    </row>
    <row r="165" spans="1:6" x14ac:dyDescent="0.25">
      <c r="A165" s="46" t="s">
        <v>26</v>
      </c>
      <c r="B165" s="15"/>
      <c r="C165" s="34"/>
      <c r="D165" s="25"/>
      <c r="E165" s="24"/>
      <c r="F165" s="151"/>
    </row>
    <row r="166" spans="1:6" s="6" customFormat="1" x14ac:dyDescent="0.25">
      <c r="A166" s="4" t="s">
        <v>580</v>
      </c>
      <c r="B166" s="4" t="s">
        <v>128</v>
      </c>
      <c r="C166" s="25">
        <v>1</v>
      </c>
      <c r="D166" s="25"/>
      <c r="E166" s="24"/>
      <c r="F166" s="151"/>
    </row>
    <row r="167" spans="1:6" ht="15.6" x14ac:dyDescent="0.25">
      <c r="A167" s="4" t="s">
        <v>130</v>
      </c>
      <c r="B167" s="4" t="s">
        <v>131</v>
      </c>
      <c r="C167" s="23">
        <f>(20/26280000)*(20)</f>
        <v>1.5220700152207001E-5</v>
      </c>
      <c r="D167" s="143"/>
      <c r="E167" s="78" t="s">
        <v>325</v>
      </c>
      <c r="F167" s="151"/>
    </row>
    <row r="168" spans="1:6" x14ac:dyDescent="0.25">
      <c r="A168" s="4" t="s">
        <v>134</v>
      </c>
      <c r="B168" s="4" t="s">
        <v>125</v>
      </c>
      <c r="C168" s="23">
        <f>($C$21/1570)*C164</f>
        <v>2.7777777777777779E-3</v>
      </c>
      <c r="D168" s="146"/>
      <c r="E168" s="78" t="s">
        <v>135</v>
      </c>
      <c r="F168" s="25"/>
    </row>
    <row r="169" spans="1:6" x14ac:dyDescent="0.25">
      <c r="A169" s="4" t="s">
        <v>577</v>
      </c>
      <c r="B169" s="4" t="s">
        <v>33</v>
      </c>
      <c r="C169" s="169">
        <f>Allokationen!E79</f>
        <v>1.7537327125113928</v>
      </c>
      <c r="D169" s="170"/>
      <c r="E169" s="78" t="s">
        <v>137</v>
      </c>
      <c r="F169" s="152"/>
    </row>
    <row r="170" spans="1:6" x14ac:dyDescent="0.25">
      <c r="A170" s="4" t="s">
        <v>399</v>
      </c>
      <c r="B170" s="4" t="s">
        <v>33</v>
      </c>
      <c r="C170" s="169">
        <f>Allokationen!F79</f>
        <v>4.8507500558825756</v>
      </c>
      <c r="D170" s="170"/>
      <c r="E170" s="78" t="s">
        <v>137</v>
      </c>
      <c r="F170" s="152"/>
    </row>
    <row r="171" spans="1:6" s="86" customFormat="1" ht="55.2" x14ac:dyDescent="0.25">
      <c r="A171" s="4" t="s">
        <v>583</v>
      </c>
      <c r="B171" s="2" t="s">
        <v>144</v>
      </c>
      <c r="C171" s="25">
        <f>(464.2+580+131.2)*0.5*0.5</f>
        <v>293.85000000000002</v>
      </c>
      <c r="D171" s="25"/>
      <c r="E171" s="83" t="s">
        <v>584</v>
      </c>
      <c r="F171" s="113"/>
    </row>
    <row r="172" spans="1:6" x14ac:dyDescent="0.25">
      <c r="A172" s="70" t="s">
        <v>335</v>
      </c>
      <c r="B172" s="15" t="s">
        <v>144</v>
      </c>
      <c r="C172" s="73">
        <v>20</v>
      </c>
      <c r="D172" s="25"/>
      <c r="E172" s="78" t="s">
        <v>147</v>
      </c>
      <c r="F172" s="78"/>
    </row>
    <row r="173" spans="1:6" s="6" customFormat="1" ht="41.4" x14ac:dyDescent="0.25">
      <c r="A173" s="4" t="s">
        <v>140</v>
      </c>
      <c r="B173" s="3" t="s">
        <v>141</v>
      </c>
      <c r="C173" s="73">
        <f>20/2100</f>
        <v>9.5238095238095247E-3</v>
      </c>
      <c r="D173" s="33"/>
      <c r="E173" s="78" t="s">
        <v>142</v>
      </c>
      <c r="F173" s="78"/>
    </row>
    <row r="174" spans="1:6" s="6" customFormat="1" ht="69" x14ac:dyDescent="0.25">
      <c r="A174" s="4" t="s">
        <v>151</v>
      </c>
      <c r="B174" s="3" t="s">
        <v>144</v>
      </c>
      <c r="C174" s="23">
        <f>2*(770*0.00526316)</f>
        <v>8.1052663999999996</v>
      </c>
      <c r="D174" s="33"/>
      <c r="E174" s="78" t="s">
        <v>152</v>
      </c>
      <c r="F174" s="78" t="s">
        <v>153</v>
      </c>
    </row>
    <row r="175" spans="1:6" x14ac:dyDescent="0.25">
      <c r="A175" s="16"/>
      <c r="B175" s="4"/>
      <c r="C175" s="25"/>
      <c r="D175" s="25"/>
      <c r="E175" s="159"/>
      <c r="F175" s="78"/>
    </row>
    <row r="176" spans="1:6" x14ac:dyDescent="0.25">
      <c r="A176" s="48" t="s">
        <v>35</v>
      </c>
      <c r="B176" s="4"/>
      <c r="C176" s="25"/>
      <c r="D176" s="25"/>
      <c r="E176" s="24"/>
      <c r="F176" s="78"/>
    </row>
    <row r="177" spans="1:6" x14ac:dyDescent="0.25">
      <c r="A177" s="4" t="s">
        <v>585</v>
      </c>
      <c r="B177" s="98" t="s">
        <v>539</v>
      </c>
      <c r="C177" s="34">
        <v>1</v>
      </c>
      <c r="D177" s="25"/>
      <c r="E177" s="24"/>
      <c r="F177" s="78"/>
    </row>
    <row r="178" spans="1:6" ht="47.4" customHeight="1" x14ac:dyDescent="0.25">
      <c r="A178" s="70" t="s">
        <v>159</v>
      </c>
      <c r="B178" s="4" t="s">
        <v>156</v>
      </c>
      <c r="C178" s="73">
        <f>C172</f>
        <v>20</v>
      </c>
      <c r="D178" s="25"/>
      <c r="E178" s="78"/>
      <c r="F178" s="78" t="s">
        <v>543</v>
      </c>
    </row>
    <row r="179" spans="1:6" ht="26.25" customHeight="1" x14ac:dyDescent="0.25">
      <c r="A179" s="70" t="s">
        <v>160</v>
      </c>
      <c r="B179" s="4" t="s">
        <v>144</v>
      </c>
      <c r="C179" s="73">
        <f>C174</f>
        <v>8.1052663999999996</v>
      </c>
      <c r="D179" s="25"/>
      <c r="E179" s="78"/>
      <c r="F179" s="78" t="s">
        <v>161</v>
      </c>
    </row>
    <row r="180" spans="1:6" ht="27.9" customHeight="1" x14ac:dyDescent="0.25">
      <c r="A180" s="70" t="s">
        <v>162</v>
      </c>
      <c r="B180" s="4" t="s">
        <v>144</v>
      </c>
      <c r="C180" s="73">
        <f>C173</f>
        <v>9.5238095238095247E-3</v>
      </c>
      <c r="D180" s="25"/>
      <c r="E180" s="78"/>
      <c r="F180" s="78" t="s">
        <v>163</v>
      </c>
    </row>
    <row r="181" spans="1:6" x14ac:dyDescent="0.25">
      <c r="A181" s="4"/>
      <c r="B181" s="98"/>
      <c r="C181" s="34"/>
      <c r="D181" s="25"/>
      <c r="E181" s="24"/>
      <c r="F181" s="78"/>
    </row>
    <row r="182" spans="1:6" x14ac:dyDescent="0.25">
      <c r="A182" s="48" t="s">
        <v>544</v>
      </c>
      <c r="B182" s="15"/>
      <c r="C182" s="25"/>
      <c r="D182" s="25"/>
      <c r="E182" s="24"/>
      <c r="F182" s="78"/>
    </row>
    <row r="183" spans="1:6" x14ac:dyDescent="0.25">
      <c r="A183" s="4"/>
      <c r="B183" s="98"/>
      <c r="C183" s="34"/>
      <c r="D183" s="25"/>
      <c r="E183" s="113"/>
      <c r="F183" s="78"/>
    </row>
    <row r="184" spans="1:6" x14ac:dyDescent="0.25">
      <c r="A184" s="4"/>
      <c r="B184" s="98"/>
      <c r="C184" s="34"/>
      <c r="D184" s="25"/>
      <c r="E184" s="113"/>
      <c r="F184" s="78"/>
    </row>
    <row r="185" spans="1:6" x14ac:dyDescent="0.25">
      <c r="A185" s="5"/>
      <c r="B185" s="5"/>
      <c r="E185" s="153"/>
    </row>
    <row r="186" spans="1:6" x14ac:dyDescent="0.25">
      <c r="A186" s="5"/>
      <c r="B186" s="5"/>
      <c r="E186" s="153"/>
    </row>
    <row r="187" spans="1:6" x14ac:dyDescent="0.25">
      <c r="A187" s="5"/>
      <c r="B187" s="5"/>
      <c r="E187" s="153"/>
    </row>
    <row r="188" spans="1:6" ht="16.8" x14ac:dyDescent="0.25">
      <c r="A188" s="9" t="s">
        <v>1007</v>
      </c>
      <c r="B188" s="8"/>
      <c r="C188" s="8"/>
      <c r="D188" s="8"/>
      <c r="E188" s="126"/>
      <c r="F188" s="126"/>
    </row>
    <row r="189" spans="1:6" ht="69" x14ac:dyDescent="0.25">
      <c r="A189" s="11" t="s">
        <v>9</v>
      </c>
      <c r="B189" s="11" t="s">
        <v>10</v>
      </c>
      <c r="C189" s="11" t="s">
        <v>1</v>
      </c>
      <c r="D189" s="11" t="s">
        <v>11</v>
      </c>
      <c r="E189" s="11" t="s">
        <v>12</v>
      </c>
      <c r="F189" s="11"/>
    </row>
    <row r="190" spans="1:6" x14ac:dyDescent="0.25">
      <c r="A190" s="3" t="s">
        <v>20</v>
      </c>
      <c r="B190" s="15"/>
      <c r="C190" s="25"/>
      <c r="D190" s="25"/>
      <c r="E190" s="25"/>
      <c r="F190" s="25"/>
    </row>
    <row r="191" spans="1:6" x14ac:dyDescent="0.25">
      <c r="A191" s="3" t="s">
        <v>21</v>
      </c>
      <c r="B191" s="15" t="s">
        <v>115</v>
      </c>
      <c r="C191" s="25">
        <v>2825</v>
      </c>
      <c r="D191" s="25"/>
      <c r="E191" s="78" t="s">
        <v>586</v>
      </c>
      <c r="F191" s="25"/>
    </row>
    <row r="192" spans="1:6" x14ac:dyDescent="0.25">
      <c r="A192" s="3" t="s">
        <v>22</v>
      </c>
      <c r="B192" s="15"/>
      <c r="C192" s="25"/>
      <c r="D192" s="25"/>
      <c r="E192" s="25"/>
      <c r="F192" s="25"/>
    </row>
    <row r="193" spans="1:6" x14ac:dyDescent="0.25">
      <c r="A193" s="3" t="s">
        <v>23</v>
      </c>
      <c r="B193" s="15"/>
      <c r="C193" s="25"/>
      <c r="D193" s="25"/>
      <c r="E193" s="25"/>
      <c r="F193" s="25"/>
    </row>
    <row r="194" spans="1:6" ht="27.6" x14ac:dyDescent="0.25">
      <c r="A194" s="3" t="s">
        <v>9</v>
      </c>
      <c r="B194" s="15"/>
      <c r="C194" s="221" t="s">
        <v>587</v>
      </c>
      <c r="D194" s="223"/>
      <c r="E194" s="25"/>
      <c r="F194" s="25"/>
    </row>
    <row r="195" spans="1:6" x14ac:dyDescent="0.25">
      <c r="A195" s="3"/>
      <c r="B195" s="15"/>
      <c r="C195" s="25"/>
      <c r="D195" s="25"/>
      <c r="E195" s="25"/>
      <c r="F195" s="25"/>
    </row>
    <row r="196" spans="1:6" x14ac:dyDescent="0.25">
      <c r="A196" s="3"/>
      <c r="B196" s="15"/>
      <c r="C196" s="25"/>
      <c r="D196" s="25"/>
      <c r="E196" s="25"/>
      <c r="F196" s="25"/>
    </row>
    <row r="197" spans="1:6" x14ac:dyDescent="0.25">
      <c r="A197" s="3"/>
      <c r="B197" s="15"/>
      <c r="C197" s="25"/>
      <c r="D197" s="25"/>
      <c r="E197" s="25"/>
      <c r="F197" s="25"/>
    </row>
    <row r="198" spans="1:6" x14ac:dyDescent="0.25">
      <c r="A198" s="3"/>
      <c r="B198" s="15"/>
      <c r="C198" s="25"/>
      <c r="D198" s="25"/>
      <c r="E198" s="25"/>
      <c r="F198" s="25"/>
    </row>
    <row r="199" spans="1:6" ht="80.099999999999994" customHeight="1" x14ac:dyDescent="0.25">
      <c r="A199" s="3" t="s">
        <v>124</v>
      </c>
      <c r="B199" s="15" t="s">
        <v>125</v>
      </c>
      <c r="C199" s="73">
        <f>(1314/9460800)*2825</f>
        <v>0.3923611111111111</v>
      </c>
      <c r="D199" s="221" t="s">
        <v>126</v>
      </c>
      <c r="E199" s="223"/>
      <c r="F199" s="25"/>
    </row>
    <row r="200" spans="1:6" x14ac:dyDescent="0.25">
      <c r="A200" s="3"/>
      <c r="B200" s="15"/>
      <c r="C200" s="25"/>
      <c r="D200" s="25"/>
      <c r="E200" s="25"/>
      <c r="F200" s="25"/>
    </row>
    <row r="201" spans="1:6" x14ac:dyDescent="0.25">
      <c r="A201" s="3"/>
      <c r="B201" s="15"/>
      <c r="C201" s="25"/>
      <c r="D201" s="25"/>
      <c r="E201" s="25"/>
      <c r="F201" s="25"/>
    </row>
    <row r="202" spans="1:6" x14ac:dyDescent="0.25">
      <c r="A202" s="3"/>
      <c r="B202" s="15"/>
      <c r="C202" s="25"/>
      <c r="D202" s="25"/>
      <c r="E202" s="25"/>
      <c r="F202" s="25"/>
    </row>
    <row r="203" spans="1:6" x14ac:dyDescent="0.25">
      <c r="A203" s="3"/>
      <c r="B203" s="15"/>
      <c r="C203" s="25"/>
      <c r="D203" s="25"/>
      <c r="E203" s="25"/>
      <c r="F203" s="25"/>
    </row>
    <row r="204" spans="1:6" x14ac:dyDescent="0.25">
      <c r="A204" s="3"/>
      <c r="B204" s="15"/>
      <c r="C204" s="25"/>
      <c r="D204" s="25"/>
      <c r="E204" s="25"/>
      <c r="F204" s="25"/>
    </row>
    <row r="205" spans="1:6" s="6" customFormat="1" x14ac:dyDescent="0.25">
      <c r="A205" s="3"/>
      <c r="B205" s="15"/>
      <c r="C205" s="23"/>
      <c r="D205" s="23"/>
      <c r="E205" s="23"/>
      <c r="F205" s="25"/>
    </row>
    <row r="206" spans="1:6" x14ac:dyDescent="0.25">
      <c r="A206" s="7"/>
      <c r="B206" s="7"/>
      <c r="E206" s="1"/>
      <c r="F206" s="25"/>
    </row>
    <row r="207" spans="1:6" ht="27.6" x14ac:dyDescent="0.25">
      <c r="A207" s="10" t="s">
        <v>1010</v>
      </c>
      <c r="B207" s="11" t="s">
        <v>10</v>
      </c>
      <c r="C207" s="11" t="s">
        <v>1</v>
      </c>
      <c r="D207" s="11" t="s">
        <v>12</v>
      </c>
      <c r="E207" s="35" t="s">
        <v>13</v>
      </c>
      <c r="F207" s="95"/>
    </row>
    <row r="208" spans="1:6" x14ac:dyDescent="0.25">
      <c r="A208" s="66" t="s">
        <v>177</v>
      </c>
      <c r="B208" s="216"/>
      <c r="C208" s="217"/>
      <c r="D208" s="218"/>
      <c r="E208" s="95"/>
      <c r="F208" s="95"/>
    </row>
    <row r="209" spans="1:14" x14ac:dyDescent="0.25">
      <c r="A209" s="66" t="s">
        <v>22</v>
      </c>
      <c r="B209" s="11"/>
      <c r="C209" s="11"/>
      <c r="D209" s="11"/>
      <c r="E209" s="11"/>
      <c r="F209" s="11"/>
    </row>
    <row r="210" spans="1:14" x14ac:dyDescent="0.25">
      <c r="A210" s="66" t="s">
        <v>25</v>
      </c>
      <c r="B210" s="11"/>
      <c r="C210" s="11"/>
      <c r="D210" s="11"/>
      <c r="E210" s="11"/>
      <c r="F210" s="11"/>
    </row>
    <row r="211" spans="1:14" s="6" customFormat="1" x14ac:dyDescent="0.25">
      <c r="A211" s="4"/>
      <c r="B211" s="15"/>
      <c r="C211" s="33"/>
      <c r="D211" s="25"/>
      <c r="E211" s="24"/>
      <c r="F211" s="25"/>
    </row>
    <row r="212" spans="1:14" x14ac:dyDescent="0.25">
      <c r="A212" s="10" t="s">
        <v>588</v>
      </c>
      <c r="B212" s="149" t="s">
        <v>10</v>
      </c>
      <c r="C212" s="149" t="s">
        <v>1</v>
      </c>
      <c r="D212" s="149"/>
      <c r="E212" s="150" t="s">
        <v>12</v>
      </c>
      <c r="F212" s="11"/>
    </row>
    <row r="213" spans="1:14" ht="44.1" customHeight="1" x14ac:dyDescent="0.25">
      <c r="A213" s="66" t="s">
        <v>177</v>
      </c>
      <c r="B213" s="229" t="s">
        <v>589</v>
      </c>
      <c r="C213" s="230"/>
      <c r="D213" s="230"/>
      <c r="E213" s="231"/>
      <c r="F213" s="11"/>
    </row>
    <row r="214" spans="1:14" x14ac:dyDescent="0.25">
      <c r="A214" s="66" t="s">
        <v>22</v>
      </c>
      <c r="B214" s="11"/>
      <c r="C214" s="11"/>
      <c r="D214" s="11"/>
      <c r="E214" s="11"/>
      <c r="F214" s="11"/>
    </row>
    <row r="215" spans="1:14" x14ac:dyDescent="0.25">
      <c r="A215" s="66" t="s">
        <v>25</v>
      </c>
      <c r="B215" s="11" t="s">
        <v>115</v>
      </c>
      <c r="C215" s="11">
        <v>150</v>
      </c>
      <c r="D215" s="11"/>
      <c r="E215" s="11"/>
      <c r="F215" s="11"/>
    </row>
    <row r="216" spans="1:14" x14ac:dyDescent="0.25">
      <c r="A216" s="46" t="s">
        <v>26</v>
      </c>
      <c r="B216" s="2"/>
      <c r="C216" s="25"/>
      <c r="D216" s="25"/>
      <c r="E216" s="24"/>
      <c r="F216" s="113"/>
    </row>
    <row r="217" spans="1:14" x14ac:dyDescent="0.25">
      <c r="A217" s="4" t="s">
        <v>538</v>
      </c>
      <c r="B217" s="2" t="s">
        <v>539</v>
      </c>
      <c r="C217" s="25">
        <v>1</v>
      </c>
      <c r="D217" s="25"/>
      <c r="E217" s="24"/>
      <c r="F217" s="113"/>
    </row>
    <row r="218" spans="1:14" ht="15.6" x14ac:dyDescent="0.25">
      <c r="A218" s="4" t="s">
        <v>130</v>
      </c>
      <c r="B218" s="4" t="s">
        <v>131</v>
      </c>
      <c r="C218" s="23">
        <f>(20/26280000)*150</f>
        <v>1.1415525114155251E-4</v>
      </c>
      <c r="D218" s="146"/>
      <c r="E218" s="78" t="s">
        <v>325</v>
      </c>
      <c r="F218" s="78"/>
    </row>
    <row r="219" spans="1:14" x14ac:dyDescent="0.25">
      <c r="A219" s="4" t="s">
        <v>134</v>
      </c>
      <c r="B219" s="4" t="s">
        <v>125</v>
      </c>
      <c r="C219" s="23">
        <f>($C$199/2825)*C215</f>
        <v>2.0833333333333332E-2</v>
      </c>
      <c r="D219" s="146"/>
      <c r="E219" s="78" t="s">
        <v>135</v>
      </c>
      <c r="F219" s="25"/>
      <c r="G219" s="6"/>
      <c r="H219" s="6"/>
      <c r="I219" s="6"/>
      <c r="J219" s="6"/>
      <c r="K219" s="6"/>
      <c r="L219" s="6"/>
      <c r="M219" s="6"/>
      <c r="N219" s="6"/>
    </row>
    <row r="220" spans="1:14" x14ac:dyDescent="0.25">
      <c r="A220" s="2" t="s">
        <v>391</v>
      </c>
      <c r="B220" s="4" t="s">
        <v>33</v>
      </c>
      <c r="C220" s="165">
        <f>Allokationen!E63</f>
        <v>13.861117659024755</v>
      </c>
      <c r="D220" s="25"/>
      <c r="E220" s="78" t="s">
        <v>137</v>
      </c>
      <c r="F220" s="78"/>
    </row>
    <row r="221" spans="1:14" x14ac:dyDescent="0.25">
      <c r="A221" s="70" t="s">
        <v>138</v>
      </c>
      <c r="B221" s="4" t="s">
        <v>33</v>
      </c>
      <c r="C221" s="165">
        <f>Allokationen!F63</f>
        <v>38.339261610068462</v>
      </c>
      <c r="D221" s="25"/>
      <c r="E221" s="78" t="s">
        <v>137</v>
      </c>
      <c r="F221" s="78"/>
    </row>
    <row r="222" spans="1:14" s="6" customFormat="1" ht="41.4" x14ac:dyDescent="0.25">
      <c r="A222" s="4" t="s">
        <v>140</v>
      </c>
      <c r="B222" s="3" t="s">
        <v>141</v>
      </c>
      <c r="C222" s="73">
        <f>150/2100</f>
        <v>7.1428571428571425E-2</v>
      </c>
      <c r="D222" s="33"/>
      <c r="E222" s="78" t="s">
        <v>142</v>
      </c>
      <c r="F222" s="78"/>
    </row>
    <row r="223" spans="1:14" s="6" customFormat="1" ht="69" x14ac:dyDescent="0.25">
      <c r="A223" s="4" t="s">
        <v>151</v>
      </c>
      <c r="B223" s="3" t="s">
        <v>144</v>
      </c>
      <c r="C223" s="23">
        <f>2*(770*0.00526316)</f>
        <v>8.1052663999999996</v>
      </c>
      <c r="D223" s="33"/>
      <c r="E223" s="78" t="s">
        <v>152</v>
      </c>
      <c r="F223" s="78" t="s">
        <v>153</v>
      </c>
    </row>
    <row r="224" spans="1:14" s="6" customFormat="1" x14ac:dyDescent="0.25">
      <c r="A224" s="4"/>
      <c r="B224" s="3"/>
      <c r="C224" s="99"/>
      <c r="D224" s="33"/>
      <c r="E224" s="78"/>
      <c r="F224" s="78"/>
    </row>
    <row r="225" spans="1:6" x14ac:dyDescent="0.25">
      <c r="A225" s="46" t="s">
        <v>35</v>
      </c>
      <c r="B225" s="15"/>
      <c r="C225" s="23"/>
      <c r="D225" s="25"/>
      <c r="E225" s="78"/>
      <c r="F225" s="78"/>
    </row>
    <row r="226" spans="1:6" x14ac:dyDescent="0.25">
      <c r="A226" s="4" t="s">
        <v>392</v>
      </c>
      <c r="B226" s="98" t="s">
        <v>37</v>
      </c>
      <c r="C226" s="23" t="s">
        <v>5</v>
      </c>
      <c r="D226" s="25"/>
      <c r="E226" s="78"/>
      <c r="F226" s="78"/>
    </row>
    <row r="227" spans="1:6" x14ac:dyDescent="0.25">
      <c r="A227" s="4" t="s">
        <v>541</v>
      </c>
      <c r="B227" s="98" t="s">
        <v>37</v>
      </c>
      <c r="C227" s="23">
        <v>1</v>
      </c>
      <c r="D227" s="25"/>
      <c r="E227" s="78"/>
      <c r="F227" s="78"/>
    </row>
    <row r="228" spans="1:6" ht="33" customHeight="1" x14ac:dyDescent="0.25">
      <c r="A228" s="70" t="s">
        <v>155</v>
      </c>
      <c r="B228" s="4" t="s">
        <v>156</v>
      </c>
      <c r="C228" s="24">
        <f>C387</f>
        <v>1175.4000000000001</v>
      </c>
      <c r="D228" s="25"/>
      <c r="E228" s="78" t="s">
        <v>157</v>
      </c>
      <c r="F228" s="78" t="s">
        <v>158</v>
      </c>
    </row>
    <row r="229" spans="1:6" ht="33" customHeight="1" x14ac:dyDescent="0.25">
      <c r="A229" s="70" t="s">
        <v>590</v>
      </c>
      <c r="B229" s="4" t="s">
        <v>144</v>
      </c>
      <c r="C229" s="24">
        <f>C389</f>
        <v>1232</v>
      </c>
      <c r="D229" s="25"/>
      <c r="E229" s="78" t="s">
        <v>591</v>
      </c>
      <c r="F229" s="78"/>
    </row>
    <row r="230" spans="1:6" ht="26.25" customHeight="1" x14ac:dyDescent="0.25">
      <c r="A230" s="70" t="s">
        <v>160</v>
      </c>
      <c r="B230" s="4" t="s">
        <v>144</v>
      </c>
      <c r="C230" s="73">
        <f>C223</f>
        <v>8.1052663999999996</v>
      </c>
      <c r="D230" s="25"/>
      <c r="E230" s="78"/>
      <c r="F230" s="78" t="s">
        <v>161</v>
      </c>
    </row>
    <row r="231" spans="1:6" ht="27.9" customHeight="1" x14ac:dyDescent="0.25">
      <c r="A231" s="70" t="s">
        <v>162</v>
      </c>
      <c r="B231" s="4" t="s">
        <v>144</v>
      </c>
      <c r="C231" s="73">
        <f>C222*200</f>
        <v>14.285714285714285</v>
      </c>
      <c r="D231" s="25"/>
      <c r="E231" s="78"/>
      <c r="F231" s="78" t="s">
        <v>163</v>
      </c>
    </row>
    <row r="232" spans="1:6" x14ac:dyDescent="0.25">
      <c r="A232" s="4"/>
      <c r="B232" s="98"/>
      <c r="C232" s="34"/>
      <c r="D232" s="25"/>
      <c r="E232" s="24"/>
      <c r="F232" s="113"/>
    </row>
    <row r="233" spans="1:6" x14ac:dyDescent="0.25">
      <c r="A233" s="48" t="s">
        <v>544</v>
      </c>
      <c r="B233" s="15"/>
      <c r="C233" s="25"/>
      <c r="D233" s="25"/>
      <c r="E233" s="24"/>
      <c r="F233" s="113"/>
    </row>
    <row r="234" spans="1:6" s="6" customFormat="1" x14ac:dyDescent="0.25">
      <c r="A234" s="70" t="s">
        <v>165</v>
      </c>
      <c r="B234" s="3"/>
      <c r="C234" s="73"/>
      <c r="D234" s="33"/>
      <c r="E234" s="78"/>
      <c r="F234" s="24"/>
    </row>
    <row r="235" spans="1:6" s="6" customFormat="1" x14ac:dyDescent="0.25">
      <c r="A235" s="4" t="s">
        <v>166</v>
      </c>
      <c r="B235" s="3"/>
      <c r="C235" s="73"/>
      <c r="D235" s="33"/>
      <c r="E235" s="78" t="s">
        <v>167</v>
      </c>
      <c r="F235" s="24"/>
    </row>
    <row r="236" spans="1:6" s="6" customFormat="1" x14ac:dyDescent="0.25">
      <c r="A236" s="4" t="s">
        <v>168</v>
      </c>
      <c r="B236" s="3"/>
      <c r="C236" s="73"/>
      <c r="D236" s="33"/>
      <c r="E236" s="78" t="s">
        <v>169</v>
      </c>
      <c r="F236" s="24"/>
    </row>
    <row r="237" spans="1:6" s="6" customFormat="1" x14ac:dyDescent="0.25">
      <c r="A237" s="4" t="s">
        <v>170</v>
      </c>
      <c r="B237" s="3"/>
      <c r="C237" s="73"/>
      <c r="D237" s="33"/>
      <c r="E237" s="78"/>
      <c r="F237" s="24"/>
    </row>
    <row r="238" spans="1:6" s="6" customFormat="1" x14ac:dyDescent="0.25">
      <c r="A238" s="4" t="s">
        <v>171</v>
      </c>
      <c r="B238" s="3"/>
      <c r="C238" s="73"/>
      <c r="D238" s="33"/>
      <c r="E238" s="78" t="s">
        <v>172</v>
      </c>
      <c r="F238" s="24"/>
    </row>
    <row r="239" spans="1:6" s="6" customFormat="1" x14ac:dyDescent="0.25">
      <c r="A239" s="4" t="s">
        <v>174</v>
      </c>
      <c r="B239" s="3"/>
      <c r="C239" s="73"/>
      <c r="D239" s="33"/>
      <c r="E239" s="78" t="s">
        <v>175</v>
      </c>
      <c r="F239" s="24"/>
    </row>
    <row r="240" spans="1:6" x14ac:dyDescent="0.25">
      <c r="A240" s="16"/>
      <c r="B240" s="15"/>
      <c r="C240" s="25"/>
      <c r="D240" s="25"/>
      <c r="E240" s="24"/>
      <c r="F240" s="113"/>
    </row>
    <row r="241" spans="1:14" x14ac:dyDescent="0.25">
      <c r="A241" s="16"/>
      <c r="B241" s="15"/>
      <c r="C241" s="25"/>
      <c r="D241" s="25"/>
      <c r="E241" s="24"/>
      <c r="F241" s="113"/>
    </row>
    <row r="242" spans="1:14" x14ac:dyDescent="0.25">
      <c r="A242" s="10" t="s">
        <v>592</v>
      </c>
      <c r="B242" s="11" t="s">
        <v>10</v>
      </c>
      <c r="C242" s="11" t="s">
        <v>1</v>
      </c>
      <c r="D242" s="11"/>
      <c r="E242" s="150" t="s">
        <v>12</v>
      </c>
      <c r="F242" s="11"/>
    </row>
    <row r="243" spans="1:14" ht="40.5" customHeight="1" x14ac:dyDescent="0.25">
      <c r="A243" s="66" t="s">
        <v>177</v>
      </c>
      <c r="B243" s="216" t="s">
        <v>593</v>
      </c>
      <c r="C243" s="217"/>
      <c r="D243" s="217"/>
      <c r="E243" s="218"/>
      <c r="F243" s="11"/>
    </row>
    <row r="244" spans="1:14" x14ac:dyDescent="0.25">
      <c r="A244" s="66" t="s">
        <v>22</v>
      </c>
      <c r="B244" s="11"/>
      <c r="C244" s="11"/>
      <c r="D244" s="11"/>
      <c r="E244" s="11"/>
      <c r="F244" s="11"/>
    </row>
    <row r="245" spans="1:14" x14ac:dyDescent="0.25">
      <c r="A245" s="66" t="s">
        <v>25</v>
      </c>
      <c r="B245" s="11" t="s">
        <v>115</v>
      </c>
      <c r="C245" s="11">
        <v>60</v>
      </c>
      <c r="D245" s="11"/>
      <c r="E245" s="11"/>
      <c r="F245" s="11"/>
    </row>
    <row r="246" spans="1:14" x14ac:dyDescent="0.25">
      <c r="A246" s="46" t="s">
        <v>26</v>
      </c>
      <c r="B246" s="15"/>
      <c r="C246" s="34"/>
      <c r="D246" s="25"/>
      <c r="E246" s="24"/>
      <c r="F246" s="151"/>
    </row>
    <row r="247" spans="1:14" x14ac:dyDescent="0.25">
      <c r="A247" s="4" t="s">
        <v>541</v>
      </c>
      <c r="B247" s="98" t="s">
        <v>128</v>
      </c>
      <c r="C247" s="34">
        <v>1</v>
      </c>
      <c r="D247" s="25"/>
      <c r="E247" s="24"/>
      <c r="F247" s="151"/>
    </row>
    <row r="248" spans="1:14" ht="15.6" x14ac:dyDescent="0.25">
      <c r="A248" s="4" t="s">
        <v>130</v>
      </c>
      <c r="B248" s="4" t="s">
        <v>131</v>
      </c>
      <c r="C248" s="23">
        <f>(20/26280000)*60</f>
        <v>4.5662100456621006E-5</v>
      </c>
      <c r="D248" s="143"/>
      <c r="E248" s="78" t="s">
        <v>325</v>
      </c>
      <c r="F248" s="151"/>
    </row>
    <row r="249" spans="1:14" x14ac:dyDescent="0.25">
      <c r="A249" s="4" t="s">
        <v>134</v>
      </c>
      <c r="B249" s="4" t="s">
        <v>125</v>
      </c>
      <c r="C249" s="23">
        <f>($C$199/2825)*C245</f>
        <v>8.3333333333333332E-3</v>
      </c>
      <c r="D249" s="146"/>
      <c r="E249" s="78" t="s">
        <v>135</v>
      </c>
      <c r="F249" s="25"/>
      <c r="G249" s="6"/>
      <c r="H249" s="6"/>
      <c r="I249" s="6"/>
      <c r="J249" s="6"/>
      <c r="K249" s="6"/>
      <c r="L249" s="6"/>
      <c r="M249" s="6"/>
      <c r="N249" s="6"/>
    </row>
    <row r="250" spans="1:14" x14ac:dyDescent="0.25">
      <c r="A250" s="4" t="s">
        <v>340</v>
      </c>
      <c r="B250" s="4" t="s">
        <v>33</v>
      </c>
      <c r="C250" s="169">
        <f>Allokationen!E64</f>
        <v>5.5444470636099012</v>
      </c>
      <c r="D250" s="30"/>
      <c r="E250" s="78" t="s">
        <v>137</v>
      </c>
      <c r="F250" s="152"/>
    </row>
    <row r="251" spans="1:14" x14ac:dyDescent="0.25">
      <c r="A251" s="4" t="s">
        <v>399</v>
      </c>
      <c r="B251" s="4" t="s">
        <v>33</v>
      </c>
      <c r="C251" s="169">
        <f>Allokationen!F64</f>
        <v>15.335704644027386</v>
      </c>
      <c r="D251" s="30"/>
      <c r="E251" s="78" t="s">
        <v>137</v>
      </c>
      <c r="F251" s="152"/>
    </row>
    <row r="252" spans="1:14" ht="303.60000000000002" x14ac:dyDescent="0.25">
      <c r="A252" s="4" t="s">
        <v>78</v>
      </c>
      <c r="B252" s="4" t="s">
        <v>188</v>
      </c>
      <c r="C252" s="23">
        <f>20 * 480+10*850+10*240</f>
        <v>20500</v>
      </c>
      <c r="D252" s="80"/>
      <c r="E252" s="80" t="s">
        <v>594</v>
      </c>
      <c r="F252" s="78" t="s">
        <v>190</v>
      </c>
    </row>
    <row r="253" spans="1:14" ht="69" x14ac:dyDescent="0.25">
      <c r="A253" s="4" t="s">
        <v>595</v>
      </c>
      <c r="B253" s="4" t="s">
        <v>144</v>
      </c>
      <c r="C253" s="23">
        <f>25/4</f>
        <v>6.25</v>
      </c>
      <c r="D253" s="80"/>
      <c r="E253" s="80" t="s">
        <v>596</v>
      </c>
      <c r="F253" s="24"/>
    </row>
    <row r="254" spans="1:14" ht="69" x14ac:dyDescent="0.25">
      <c r="A254" s="4" t="s">
        <v>597</v>
      </c>
      <c r="B254" s="4" t="s">
        <v>144</v>
      </c>
      <c r="C254" s="23">
        <f>(22.7/5)/2</f>
        <v>2.27</v>
      </c>
      <c r="D254" s="80"/>
      <c r="E254" s="80" t="s">
        <v>598</v>
      </c>
      <c r="F254" s="24"/>
    </row>
    <row r="255" spans="1:14" ht="82.8" x14ac:dyDescent="0.25">
      <c r="A255" s="4" t="s">
        <v>599</v>
      </c>
      <c r="B255" s="4" t="s">
        <v>144</v>
      </c>
      <c r="C255" s="23">
        <f>70/2</f>
        <v>35</v>
      </c>
      <c r="D255" s="80"/>
      <c r="E255" s="80" t="s">
        <v>600</v>
      </c>
      <c r="F255" s="24"/>
    </row>
    <row r="256" spans="1:14" s="6" customFormat="1" ht="27.6" x14ac:dyDescent="0.25">
      <c r="A256" s="4" t="s">
        <v>140</v>
      </c>
      <c r="B256" s="3" t="s">
        <v>141</v>
      </c>
      <c r="C256" s="73">
        <f>60/2100</f>
        <v>2.8571428571428571E-2</v>
      </c>
      <c r="D256" s="33"/>
      <c r="E256" s="78" t="s">
        <v>327</v>
      </c>
      <c r="F256" s="24"/>
    </row>
    <row r="257" spans="1:6" ht="69" x14ac:dyDescent="0.25">
      <c r="A257" s="2" t="s">
        <v>151</v>
      </c>
      <c r="B257" s="4" t="s">
        <v>144</v>
      </c>
      <c r="C257" s="23">
        <f>2*(770*0.00526316)</f>
        <v>8.1052663999999996</v>
      </c>
      <c r="D257" s="33"/>
      <c r="E257" s="78" t="s">
        <v>152</v>
      </c>
      <c r="F257" s="24"/>
    </row>
    <row r="258" spans="1:6" x14ac:dyDescent="0.25">
      <c r="A258" s="46"/>
      <c r="B258" s="15"/>
      <c r="C258" s="34"/>
      <c r="D258" s="25"/>
      <c r="E258" s="24"/>
      <c r="F258" s="24"/>
    </row>
    <row r="259" spans="1:6" x14ac:dyDescent="0.25">
      <c r="A259" s="48" t="s">
        <v>35</v>
      </c>
      <c r="B259" s="15"/>
      <c r="C259" s="25"/>
      <c r="D259" s="25"/>
      <c r="E259" s="24"/>
      <c r="F259" s="24"/>
    </row>
    <row r="260" spans="1:6" x14ac:dyDescent="0.25">
      <c r="A260" s="4" t="s">
        <v>601</v>
      </c>
      <c r="B260" s="98" t="s">
        <v>128</v>
      </c>
      <c r="C260" s="34">
        <v>1</v>
      </c>
      <c r="D260" s="25"/>
      <c r="E260" s="24"/>
      <c r="F260" s="24"/>
    </row>
    <row r="261" spans="1:6" ht="41.4" x14ac:dyDescent="0.25">
      <c r="A261" s="4" t="s">
        <v>602</v>
      </c>
      <c r="B261" s="3" t="s">
        <v>156</v>
      </c>
      <c r="C261" s="73">
        <f>C253</f>
        <v>6.25</v>
      </c>
      <c r="D261" s="25"/>
      <c r="E261" s="24"/>
      <c r="F261" s="78" t="s">
        <v>236</v>
      </c>
    </row>
    <row r="262" spans="1:6" ht="41.4" x14ac:dyDescent="0.25">
      <c r="A262" s="4" t="s">
        <v>603</v>
      </c>
      <c r="B262" s="3" t="s">
        <v>156</v>
      </c>
      <c r="C262" s="73">
        <f>C254</f>
        <v>2.27</v>
      </c>
      <c r="D262" s="25"/>
      <c r="E262" s="24"/>
      <c r="F262" s="78" t="s">
        <v>236</v>
      </c>
    </row>
    <row r="263" spans="1:6" ht="41.4" x14ac:dyDescent="0.25">
      <c r="A263" s="4" t="s">
        <v>604</v>
      </c>
      <c r="B263" s="3" t="s">
        <v>156</v>
      </c>
      <c r="C263" s="73">
        <f>C255</f>
        <v>35</v>
      </c>
      <c r="D263" s="25"/>
      <c r="E263" s="24"/>
      <c r="F263" s="78" t="s">
        <v>236</v>
      </c>
    </row>
    <row r="264" spans="1:6" ht="41.4" x14ac:dyDescent="0.25">
      <c r="A264" s="4" t="s">
        <v>605</v>
      </c>
      <c r="B264" s="98" t="s">
        <v>156</v>
      </c>
      <c r="C264" s="34">
        <f>C256*200</f>
        <v>5.7142857142857144</v>
      </c>
      <c r="D264" s="25"/>
      <c r="E264" s="24"/>
      <c r="F264" s="78" t="s">
        <v>161</v>
      </c>
    </row>
    <row r="265" spans="1:6" ht="41.4" x14ac:dyDescent="0.25">
      <c r="A265" s="4" t="s">
        <v>606</v>
      </c>
      <c r="B265" s="98"/>
      <c r="C265" s="34">
        <f>C257</f>
        <v>8.1052663999999996</v>
      </c>
      <c r="D265" s="25"/>
      <c r="E265" s="24"/>
      <c r="F265" s="78" t="s">
        <v>163</v>
      </c>
    </row>
    <row r="266" spans="1:6" x14ac:dyDescent="0.25">
      <c r="A266" s="4"/>
      <c r="B266" s="98"/>
      <c r="C266" s="34"/>
      <c r="D266" s="25"/>
      <c r="E266" s="24"/>
      <c r="F266" s="24"/>
    </row>
    <row r="267" spans="1:6" x14ac:dyDescent="0.25">
      <c r="A267" s="48" t="s">
        <v>544</v>
      </c>
      <c r="B267" s="15"/>
      <c r="C267" s="25"/>
      <c r="D267" s="25"/>
      <c r="E267" s="24"/>
      <c r="F267" s="24"/>
    </row>
    <row r="268" spans="1:6" x14ac:dyDescent="0.25">
      <c r="A268" s="48"/>
      <c r="B268" s="15"/>
      <c r="C268" s="25"/>
      <c r="D268" s="25"/>
      <c r="E268" s="24"/>
      <c r="F268" s="24"/>
    </row>
    <row r="269" spans="1:6" x14ac:dyDescent="0.25">
      <c r="A269" s="48"/>
      <c r="B269" s="15"/>
      <c r="C269" s="25"/>
      <c r="D269" s="25"/>
      <c r="E269" s="24"/>
      <c r="F269" s="24"/>
    </row>
    <row r="270" spans="1:6" x14ac:dyDescent="0.25">
      <c r="A270" s="48"/>
      <c r="B270" s="15"/>
      <c r="C270" s="25"/>
      <c r="D270" s="25"/>
      <c r="E270" s="24"/>
      <c r="F270" s="24"/>
    </row>
    <row r="271" spans="1:6" ht="41.4" x14ac:dyDescent="0.25">
      <c r="A271" s="10" t="s">
        <v>607</v>
      </c>
      <c r="B271" s="11" t="s">
        <v>10</v>
      </c>
      <c r="C271" s="11" t="s">
        <v>1</v>
      </c>
      <c r="D271" s="11" t="s">
        <v>12</v>
      </c>
      <c r="E271" s="35" t="s">
        <v>13</v>
      </c>
      <c r="F271" s="35"/>
    </row>
    <row r="272" spans="1:6" ht="149.1" customHeight="1" x14ac:dyDescent="0.25">
      <c r="A272" s="66" t="s">
        <v>177</v>
      </c>
      <c r="B272" s="216" t="s">
        <v>608</v>
      </c>
      <c r="C272" s="217"/>
      <c r="D272" s="217"/>
      <c r="E272" s="218"/>
      <c r="F272" s="11"/>
    </row>
    <row r="273" spans="1:6" x14ac:dyDescent="0.25">
      <c r="A273" s="66" t="s">
        <v>22</v>
      </c>
      <c r="B273" s="11"/>
      <c r="C273" s="11"/>
      <c r="D273" s="11"/>
      <c r="E273" s="11"/>
      <c r="F273" s="11"/>
    </row>
    <row r="274" spans="1:6" ht="55.2" x14ac:dyDescent="0.25">
      <c r="A274" s="66" t="s">
        <v>25</v>
      </c>
      <c r="B274" s="11" t="s">
        <v>115</v>
      </c>
      <c r="C274" s="11" t="s">
        <v>609</v>
      </c>
      <c r="D274" s="11"/>
      <c r="E274" s="11" t="s">
        <v>610</v>
      </c>
      <c r="F274" s="11"/>
    </row>
    <row r="275" spans="1:6" x14ac:dyDescent="0.25">
      <c r="A275" s="46" t="s">
        <v>26</v>
      </c>
      <c r="B275" s="15"/>
      <c r="C275" s="34"/>
      <c r="D275" s="25"/>
      <c r="E275" s="24"/>
      <c r="F275" s="25"/>
    </row>
    <row r="276" spans="1:6" x14ac:dyDescent="0.25">
      <c r="A276" s="4" t="s">
        <v>601</v>
      </c>
      <c r="B276" s="98" t="s">
        <v>539</v>
      </c>
      <c r="C276" s="34">
        <v>1</v>
      </c>
      <c r="D276" s="25"/>
      <c r="E276" s="24"/>
      <c r="F276" s="25"/>
    </row>
    <row r="277" spans="1:6" ht="15.6" x14ac:dyDescent="0.25">
      <c r="A277" s="4" t="s">
        <v>130</v>
      </c>
      <c r="B277" s="4" t="s">
        <v>131</v>
      </c>
      <c r="C277" s="23">
        <f>(20/26280000)*(7*60)</f>
        <v>3.1963470319634703E-4</v>
      </c>
      <c r="D277" s="143"/>
      <c r="E277" s="78" t="s">
        <v>325</v>
      </c>
      <c r="F277" s="151"/>
    </row>
    <row r="278" spans="1:6" x14ac:dyDescent="0.25">
      <c r="A278" s="4" t="s">
        <v>134</v>
      </c>
      <c r="B278" s="4" t="s">
        <v>125</v>
      </c>
      <c r="C278" s="23">
        <f>($C$199/2825)*(420+840)</f>
        <v>0.17499999999999999</v>
      </c>
      <c r="D278" s="146"/>
      <c r="E278" s="78" t="s">
        <v>135</v>
      </c>
      <c r="F278" s="25"/>
    </row>
    <row r="279" spans="1:6" ht="82.8" x14ac:dyDescent="0.25">
      <c r="A279" s="4" t="s">
        <v>397</v>
      </c>
      <c r="B279" s="4" t="s">
        <v>33</v>
      </c>
      <c r="C279" s="159"/>
      <c r="D279" s="172">
        <f>3.5*1.25</f>
        <v>4.375</v>
      </c>
      <c r="E279" s="78" t="s">
        <v>611</v>
      </c>
      <c r="F279" s="25"/>
    </row>
    <row r="280" spans="1:6" x14ac:dyDescent="0.25">
      <c r="A280" s="4" t="s">
        <v>340</v>
      </c>
      <c r="B280" s="4" t="s">
        <v>33</v>
      </c>
      <c r="C280" s="169">
        <f>Allokationen!E65</f>
        <v>38.811129445269309</v>
      </c>
      <c r="D280" s="30"/>
      <c r="E280" s="78" t="s">
        <v>137</v>
      </c>
      <c r="F280" s="152"/>
    </row>
    <row r="281" spans="1:6" x14ac:dyDescent="0.25">
      <c r="A281" s="4" t="s">
        <v>399</v>
      </c>
      <c r="B281" s="4" t="s">
        <v>33</v>
      </c>
      <c r="C281" s="169">
        <f>Allokationen!F65</f>
        <v>107.3499325081917</v>
      </c>
      <c r="D281" s="30"/>
      <c r="E281" s="78" t="s">
        <v>137</v>
      </c>
      <c r="F281" s="152"/>
    </row>
    <row r="282" spans="1:6" ht="124.2" x14ac:dyDescent="0.25">
      <c r="A282" s="4" t="s">
        <v>78</v>
      </c>
      <c r="B282" s="4" t="s">
        <v>188</v>
      </c>
      <c r="C282" s="23">
        <f>30*850</f>
        <v>25500</v>
      </c>
      <c r="D282" s="80"/>
      <c r="E282" s="80" t="s">
        <v>612</v>
      </c>
      <c r="F282" s="78" t="s">
        <v>190</v>
      </c>
    </row>
    <row r="283" spans="1:6" x14ac:dyDescent="0.25">
      <c r="A283" s="160" t="s">
        <v>613</v>
      </c>
      <c r="B283" s="4" t="s">
        <v>125</v>
      </c>
      <c r="C283" s="100">
        <v>19</v>
      </c>
      <c r="D283" s="80"/>
      <c r="E283" s="80" t="s">
        <v>614</v>
      </c>
      <c r="F283" s="78"/>
    </row>
    <row r="284" spans="1:6" ht="67.5" customHeight="1" x14ac:dyDescent="0.25">
      <c r="A284" s="98" t="s">
        <v>597</v>
      </c>
      <c r="B284" s="4" t="s">
        <v>144</v>
      </c>
      <c r="C284" s="23">
        <f>(22.7/5)/2</f>
        <v>2.27</v>
      </c>
      <c r="D284" s="80"/>
      <c r="E284" s="80" t="s">
        <v>598</v>
      </c>
      <c r="F284" s="24"/>
    </row>
    <row r="285" spans="1:6" ht="27.6" x14ac:dyDescent="0.25">
      <c r="A285" s="98" t="s">
        <v>615</v>
      </c>
      <c r="B285" s="4" t="s">
        <v>144</v>
      </c>
      <c r="C285" s="23">
        <v>213</v>
      </c>
      <c r="D285" s="80"/>
      <c r="E285" s="80" t="s">
        <v>616</v>
      </c>
      <c r="F285" s="24" t="s">
        <v>617</v>
      </c>
    </row>
    <row r="286" spans="1:6" ht="82.8" x14ac:dyDescent="0.25">
      <c r="A286" s="98" t="s">
        <v>618</v>
      </c>
      <c r="B286" s="4" t="s">
        <v>144</v>
      </c>
      <c r="C286" s="23">
        <f>(265*1.55)/3</f>
        <v>136.91666666666666</v>
      </c>
      <c r="D286" s="80"/>
      <c r="E286" s="80" t="s">
        <v>619</v>
      </c>
      <c r="F286" s="24" t="s">
        <v>620</v>
      </c>
    </row>
    <row r="287" spans="1:6" x14ac:dyDescent="0.25">
      <c r="A287" s="4" t="s">
        <v>385</v>
      </c>
      <c r="B287" s="4" t="s">
        <v>128</v>
      </c>
      <c r="C287" s="23">
        <v>1</v>
      </c>
      <c r="D287" s="80"/>
      <c r="E287" s="80" t="s">
        <v>621</v>
      </c>
      <c r="F287" s="24"/>
    </row>
    <row r="288" spans="1:6" ht="41.4" x14ac:dyDescent="0.25">
      <c r="A288" s="2" t="s">
        <v>402</v>
      </c>
      <c r="B288" s="4" t="s">
        <v>144</v>
      </c>
      <c r="C288" s="23">
        <f>2*3.5</f>
        <v>7</v>
      </c>
      <c r="D288" s="25"/>
      <c r="E288" s="78" t="s">
        <v>622</v>
      </c>
      <c r="F288" s="24"/>
    </row>
    <row r="289" spans="1:6" ht="41.4" x14ac:dyDescent="0.25">
      <c r="A289" s="50" t="s">
        <v>623</v>
      </c>
      <c r="B289" s="4" t="s">
        <v>144</v>
      </c>
      <c r="C289" s="23">
        <f>(250/10)*0.945</f>
        <v>23.625</v>
      </c>
      <c r="D289" s="25"/>
      <c r="E289" s="78" t="s">
        <v>624</v>
      </c>
      <c r="F289" s="24"/>
    </row>
    <row r="290" spans="1:6" ht="69" x14ac:dyDescent="0.25">
      <c r="A290" s="50" t="s">
        <v>625</v>
      </c>
      <c r="B290" s="4" t="s">
        <v>144</v>
      </c>
      <c r="C290" s="23">
        <f>(290/2)*1.3</f>
        <v>188.5</v>
      </c>
      <c r="D290" s="25"/>
      <c r="E290" s="78" t="s">
        <v>626</v>
      </c>
      <c r="F290" s="24" t="s">
        <v>627</v>
      </c>
    </row>
    <row r="291" spans="1:6" s="6" customFormat="1" ht="41.4" x14ac:dyDescent="0.25">
      <c r="A291" s="4" t="s">
        <v>140</v>
      </c>
      <c r="B291" s="3" t="s">
        <v>141</v>
      </c>
      <c r="C291" s="73">
        <f>(60*7/2100)</f>
        <v>0.2</v>
      </c>
      <c r="D291" s="33"/>
      <c r="E291" s="78" t="s">
        <v>327</v>
      </c>
      <c r="F291" s="78" t="s">
        <v>161</v>
      </c>
    </row>
    <row r="292" spans="1:6" ht="69" x14ac:dyDescent="0.25">
      <c r="A292" s="2" t="s">
        <v>151</v>
      </c>
      <c r="B292" s="4" t="s">
        <v>144</v>
      </c>
      <c r="C292" s="23">
        <f>2*(770*0.00526316)</f>
        <v>8.1052663999999996</v>
      </c>
      <c r="D292" s="33"/>
      <c r="E292" s="78" t="s">
        <v>152</v>
      </c>
      <c r="F292" s="78" t="s">
        <v>163</v>
      </c>
    </row>
    <row r="293" spans="1:6" x14ac:dyDescent="0.25">
      <c r="A293" s="4"/>
      <c r="B293" s="98"/>
      <c r="C293" s="34"/>
      <c r="D293" s="25"/>
      <c r="E293" s="24"/>
      <c r="F293" s="24"/>
    </row>
    <row r="294" spans="1:6" x14ac:dyDescent="0.25">
      <c r="A294" s="48" t="s">
        <v>35</v>
      </c>
      <c r="B294" s="4"/>
      <c r="C294" s="25"/>
      <c r="D294" s="25"/>
      <c r="E294" s="24"/>
      <c r="F294" s="24"/>
    </row>
    <row r="295" spans="1:6" x14ac:dyDescent="0.25">
      <c r="A295" s="4" t="s">
        <v>628</v>
      </c>
      <c r="B295" s="98" t="s">
        <v>128</v>
      </c>
      <c r="C295" s="34">
        <v>1</v>
      </c>
      <c r="D295" s="25"/>
      <c r="E295" s="24"/>
      <c r="F295" s="24"/>
    </row>
    <row r="296" spans="1:6" ht="41.4" x14ac:dyDescent="0.25">
      <c r="A296" s="4" t="s">
        <v>629</v>
      </c>
      <c r="B296" s="98" t="s">
        <v>144</v>
      </c>
      <c r="C296" s="34">
        <f>C284</f>
        <v>2.27</v>
      </c>
      <c r="D296" s="25"/>
      <c r="E296" s="24"/>
      <c r="F296" s="24" t="s">
        <v>236</v>
      </c>
    </row>
    <row r="297" spans="1:6" ht="41.4" x14ac:dyDescent="0.25">
      <c r="A297" s="4" t="s">
        <v>630</v>
      </c>
      <c r="B297" s="98" t="s">
        <v>144</v>
      </c>
      <c r="C297" s="34">
        <f>C287*340</f>
        <v>340</v>
      </c>
      <c r="D297" s="25"/>
      <c r="E297" s="24"/>
      <c r="F297" s="78" t="s">
        <v>631</v>
      </c>
    </row>
    <row r="298" spans="1:6" ht="41.4" x14ac:dyDescent="0.25">
      <c r="A298" s="4" t="s">
        <v>632</v>
      </c>
      <c r="B298" s="98" t="s">
        <v>144</v>
      </c>
      <c r="C298" s="34">
        <f>2*3.4</f>
        <v>6.8</v>
      </c>
      <c r="D298" s="25"/>
      <c r="E298" s="24"/>
      <c r="F298" s="78" t="s">
        <v>236</v>
      </c>
    </row>
    <row r="299" spans="1:6" ht="41.4" x14ac:dyDescent="0.25">
      <c r="A299" s="4" t="s">
        <v>605</v>
      </c>
      <c r="B299" s="98" t="s">
        <v>144</v>
      </c>
      <c r="C299" s="34">
        <f>C291*200</f>
        <v>40</v>
      </c>
      <c r="D299" s="25"/>
      <c r="E299" s="24"/>
      <c r="F299" s="78" t="s">
        <v>163</v>
      </c>
    </row>
    <row r="300" spans="1:6" ht="41.4" x14ac:dyDescent="0.25">
      <c r="A300" s="4" t="s">
        <v>606</v>
      </c>
      <c r="B300" s="98" t="s">
        <v>144</v>
      </c>
      <c r="C300" s="34">
        <f>C292</f>
        <v>8.1052663999999996</v>
      </c>
      <c r="D300" s="25"/>
      <c r="E300" s="24"/>
      <c r="F300" s="78" t="s">
        <v>161</v>
      </c>
    </row>
    <row r="301" spans="1:6" x14ac:dyDescent="0.25">
      <c r="A301" s="4" t="s">
        <v>633</v>
      </c>
      <c r="B301" s="98" t="s">
        <v>125</v>
      </c>
      <c r="C301" s="34">
        <f>0.1*C283</f>
        <v>1.9000000000000001</v>
      </c>
      <c r="D301" s="25"/>
      <c r="E301" s="83" t="s">
        <v>634</v>
      </c>
      <c r="F301" s="24"/>
    </row>
    <row r="302" spans="1:6" x14ac:dyDescent="0.25">
      <c r="A302" s="4"/>
      <c r="B302" s="98"/>
      <c r="C302" s="34"/>
      <c r="D302" s="25"/>
      <c r="E302" s="24"/>
      <c r="F302" s="24"/>
    </row>
    <row r="303" spans="1:6" x14ac:dyDescent="0.25">
      <c r="A303" s="48" t="s">
        <v>544</v>
      </c>
      <c r="B303" s="15"/>
      <c r="C303" s="25"/>
      <c r="D303" s="25"/>
      <c r="E303" s="24"/>
      <c r="F303" s="24"/>
    </row>
    <row r="304" spans="1:6" x14ac:dyDescent="0.25">
      <c r="A304" s="48"/>
      <c r="B304" s="4"/>
      <c r="C304" s="25"/>
      <c r="D304" s="25"/>
      <c r="E304" s="24"/>
      <c r="F304" s="24"/>
    </row>
    <row r="305" spans="1:13" x14ac:dyDescent="0.25">
      <c r="A305" s="48"/>
      <c r="B305" s="4"/>
      <c r="C305" s="25"/>
      <c r="D305" s="25"/>
      <c r="E305" s="24"/>
      <c r="F305" s="24"/>
    </row>
    <row r="306" spans="1:13" ht="27.6" x14ac:dyDescent="0.25">
      <c r="A306" s="10" t="s">
        <v>635</v>
      </c>
      <c r="B306" s="11" t="s">
        <v>10</v>
      </c>
      <c r="C306" s="11" t="s">
        <v>1</v>
      </c>
      <c r="D306" s="11" t="s">
        <v>12</v>
      </c>
      <c r="E306" s="35" t="s">
        <v>13</v>
      </c>
      <c r="F306" s="35"/>
    </row>
    <row r="307" spans="1:13" ht="122.4" customHeight="1" x14ac:dyDescent="0.25">
      <c r="A307" s="66" t="s">
        <v>177</v>
      </c>
      <c r="B307" s="216" t="s">
        <v>636</v>
      </c>
      <c r="C307" s="217"/>
      <c r="D307" s="217"/>
      <c r="E307" s="218"/>
      <c r="F307" s="11"/>
    </row>
    <row r="308" spans="1:13" x14ac:dyDescent="0.25">
      <c r="A308" s="66" t="s">
        <v>22</v>
      </c>
      <c r="B308" s="11"/>
      <c r="C308" s="11"/>
      <c r="D308" s="11"/>
      <c r="E308" s="11"/>
      <c r="F308" s="11"/>
    </row>
    <row r="309" spans="1:13" ht="55.2" x14ac:dyDescent="0.25">
      <c r="A309" s="66" t="s">
        <v>25</v>
      </c>
      <c r="B309" s="11"/>
      <c r="C309" s="11" t="s">
        <v>637</v>
      </c>
      <c r="D309" s="11"/>
      <c r="E309" s="11"/>
      <c r="F309" s="11"/>
    </row>
    <row r="310" spans="1:13" x14ac:dyDescent="0.25">
      <c r="A310" s="46" t="s">
        <v>26</v>
      </c>
      <c r="B310" s="15"/>
      <c r="C310" s="34"/>
      <c r="D310" s="25"/>
      <c r="E310" s="24"/>
      <c r="F310" s="151"/>
    </row>
    <row r="311" spans="1:13" s="6" customFormat="1" x14ac:dyDescent="0.25">
      <c r="A311" s="4" t="s">
        <v>628</v>
      </c>
      <c r="B311" s="4" t="s">
        <v>128</v>
      </c>
      <c r="C311" s="33">
        <v>1</v>
      </c>
      <c r="D311" s="25"/>
      <c r="E311" s="24"/>
      <c r="F311" s="151"/>
    </row>
    <row r="312" spans="1:13" ht="15.6" x14ac:dyDescent="0.25">
      <c r="A312" s="4" t="s">
        <v>130</v>
      </c>
      <c r="B312" s="4" t="s">
        <v>131</v>
      </c>
      <c r="C312" s="23">
        <f>(20/26280000)*(180+840)</f>
        <v>7.7625570776255711E-4</v>
      </c>
      <c r="D312" s="143"/>
      <c r="E312" s="78" t="s">
        <v>325</v>
      </c>
      <c r="F312" s="151"/>
    </row>
    <row r="313" spans="1:13" x14ac:dyDescent="0.25">
      <c r="A313" s="4" t="s">
        <v>134</v>
      </c>
      <c r="B313" s="4" t="s">
        <v>125</v>
      </c>
      <c r="C313" s="23">
        <f>($C$199/2825)*(180+840)</f>
        <v>0.14166666666666666</v>
      </c>
      <c r="D313" s="146"/>
      <c r="E313" s="78" t="s">
        <v>135</v>
      </c>
      <c r="F313" s="151"/>
      <c r="G313" s="54"/>
      <c r="H313" s="53"/>
      <c r="I313" s="52"/>
      <c r="J313" s="17"/>
      <c r="K313" s="17"/>
      <c r="M313" s="84"/>
    </row>
    <row r="314" spans="1:13" ht="27.6" x14ac:dyDescent="0.25">
      <c r="A314" s="4" t="s">
        <v>182</v>
      </c>
      <c r="B314" s="4" t="s">
        <v>33</v>
      </c>
      <c r="C314" s="173"/>
      <c r="D314" s="172">
        <f>('Sachbilanz Autotür'!D111/7592.6)*12974.91*0.7</f>
        <v>0.75760742038300444</v>
      </c>
      <c r="E314" s="78" t="s">
        <v>638</v>
      </c>
      <c r="F314" s="151"/>
    </row>
    <row r="315" spans="1:13" x14ac:dyDescent="0.25">
      <c r="A315" s="4" t="s">
        <v>577</v>
      </c>
      <c r="B315" s="4" t="s">
        <v>33</v>
      </c>
      <c r="C315" s="169">
        <f>Allokationen!E66</f>
        <v>16.633341190829704</v>
      </c>
      <c r="D315" s="170"/>
      <c r="E315" s="78" t="s">
        <v>137</v>
      </c>
      <c r="F315" s="152"/>
    </row>
    <row r="316" spans="1:13" x14ac:dyDescent="0.25">
      <c r="A316" s="4" t="s">
        <v>399</v>
      </c>
      <c r="B316" s="4" t="s">
        <v>33</v>
      </c>
      <c r="C316" s="169">
        <f>Allokationen!F66</f>
        <v>46.007113932082156</v>
      </c>
      <c r="D316" s="170"/>
      <c r="E316" s="78" t="s">
        <v>137</v>
      </c>
      <c r="F316" s="152"/>
    </row>
    <row r="317" spans="1:13" ht="177" customHeight="1" x14ac:dyDescent="0.25">
      <c r="A317" s="4" t="s">
        <v>78</v>
      </c>
      <c r="B317" s="4" t="s">
        <v>188</v>
      </c>
      <c r="C317" s="23">
        <f>10*300+1*333</f>
        <v>3333</v>
      </c>
      <c r="D317" s="80"/>
      <c r="E317" s="78" t="s">
        <v>555</v>
      </c>
      <c r="F317" s="78" t="s">
        <v>190</v>
      </c>
    </row>
    <row r="318" spans="1:13" ht="148.5" customHeight="1" x14ac:dyDescent="0.25">
      <c r="A318" s="4" t="s">
        <v>639</v>
      </c>
      <c r="B318" s="4" t="s">
        <v>144</v>
      </c>
      <c r="C318" s="73">
        <f>19*5.6</f>
        <v>106.39999999999999</v>
      </c>
      <c r="D318" s="34"/>
      <c r="E318" s="78" t="s">
        <v>640</v>
      </c>
      <c r="F318" s="24"/>
    </row>
    <row r="319" spans="1:13" ht="69" x14ac:dyDescent="0.25">
      <c r="A319" s="2" t="s">
        <v>197</v>
      </c>
      <c r="B319" s="4" t="s">
        <v>128</v>
      </c>
      <c r="C319" s="73">
        <v>3</v>
      </c>
      <c r="D319" s="25"/>
      <c r="E319" s="78" t="s">
        <v>558</v>
      </c>
      <c r="F319" s="24"/>
    </row>
    <row r="320" spans="1:13" ht="82.8" x14ac:dyDescent="0.25">
      <c r="A320" s="70" t="s">
        <v>199</v>
      </c>
      <c r="B320" s="4" t="s">
        <v>144</v>
      </c>
      <c r="C320" s="73">
        <v>15</v>
      </c>
      <c r="D320" s="25"/>
      <c r="E320" s="78" t="s">
        <v>559</v>
      </c>
      <c r="F320" s="78" t="s">
        <v>201</v>
      </c>
    </row>
    <row r="321" spans="1:6" s="6" customFormat="1" ht="82.8" x14ac:dyDescent="0.25">
      <c r="A321" s="4" t="s">
        <v>202</v>
      </c>
      <c r="B321" s="3" t="s">
        <v>144</v>
      </c>
      <c r="C321" s="73">
        <f>0.1*28.57</f>
        <v>2.8570000000000002</v>
      </c>
      <c r="D321" s="33"/>
      <c r="E321" s="78" t="s">
        <v>203</v>
      </c>
      <c r="F321" s="78" t="s">
        <v>204</v>
      </c>
    </row>
    <row r="322" spans="1:6" s="6" customFormat="1" ht="314.39999999999998" customHeight="1" x14ac:dyDescent="0.25">
      <c r="A322" s="4" t="s">
        <v>212</v>
      </c>
      <c r="B322" s="3" t="s">
        <v>144</v>
      </c>
      <c r="C322" s="73">
        <f>(122.21+217.3+465.3)*3.8*0.00886</f>
        <v>27.096343079999997</v>
      </c>
      <c r="D322" s="33"/>
      <c r="E322" s="78" t="s">
        <v>561</v>
      </c>
      <c r="F322" s="78"/>
    </row>
    <row r="323" spans="1:6" s="6" customFormat="1" ht="276" x14ac:dyDescent="0.25">
      <c r="A323" s="4" t="s">
        <v>76</v>
      </c>
      <c r="B323" s="3" t="s">
        <v>144</v>
      </c>
      <c r="C323" s="73">
        <f>((1188.47+2656.36)/10000)*80</f>
        <v>30.75864</v>
      </c>
      <c r="D323" s="33"/>
      <c r="E323" s="78" t="s">
        <v>562</v>
      </c>
      <c r="F323" s="83" t="s">
        <v>215</v>
      </c>
    </row>
    <row r="324" spans="1:6" s="6" customFormat="1" ht="292.5" customHeight="1" x14ac:dyDescent="0.25">
      <c r="A324" s="4" t="s">
        <v>451</v>
      </c>
      <c r="B324" s="3" t="s">
        <v>144</v>
      </c>
      <c r="C324" s="73">
        <f>255.98*0.915</f>
        <v>234.2217</v>
      </c>
      <c r="D324" s="33"/>
      <c r="E324" s="78" t="s">
        <v>563</v>
      </c>
      <c r="F324" s="24" t="s">
        <v>564</v>
      </c>
    </row>
    <row r="325" spans="1:6" s="6" customFormat="1" ht="42" customHeight="1" x14ac:dyDescent="0.25">
      <c r="A325" s="4" t="s">
        <v>216</v>
      </c>
      <c r="B325" s="3" t="s">
        <v>144</v>
      </c>
      <c r="C325" s="73">
        <f>2*8.4</f>
        <v>16.8</v>
      </c>
      <c r="D325" s="33"/>
      <c r="E325" s="78" t="s">
        <v>217</v>
      </c>
      <c r="F325" s="24"/>
    </row>
    <row r="326" spans="1:6" s="6" customFormat="1" ht="69" x14ac:dyDescent="0.25">
      <c r="A326" s="4" t="s">
        <v>218</v>
      </c>
      <c r="B326" s="3" t="s">
        <v>219</v>
      </c>
      <c r="C326" s="73">
        <v>247.79</v>
      </c>
      <c r="D326" s="33"/>
      <c r="E326" s="78" t="s">
        <v>641</v>
      </c>
      <c r="F326" s="78" t="s">
        <v>221</v>
      </c>
    </row>
    <row r="327" spans="1:6" s="6" customFormat="1" ht="124.2" x14ac:dyDescent="0.25">
      <c r="A327" s="4" t="s">
        <v>222</v>
      </c>
      <c r="B327" s="3" t="s">
        <v>219</v>
      </c>
      <c r="C327" s="73">
        <v>341.78</v>
      </c>
      <c r="D327" s="33"/>
      <c r="E327" s="78" t="s">
        <v>566</v>
      </c>
      <c r="F327" s="78" t="s">
        <v>224</v>
      </c>
    </row>
    <row r="328" spans="1:6" s="6" customFormat="1" ht="41.1" customHeight="1" x14ac:dyDescent="0.25">
      <c r="A328" s="4" t="s">
        <v>225</v>
      </c>
      <c r="B328" s="3" t="s">
        <v>219</v>
      </c>
      <c r="C328" s="73">
        <v>85.44</v>
      </c>
      <c r="D328" s="33"/>
      <c r="E328" s="78" t="s">
        <v>567</v>
      </c>
      <c r="F328" s="78" t="s">
        <v>227</v>
      </c>
    </row>
    <row r="329" spans="1:6" s="6" customFormat="1" ht="47.4" customHeight="1" x14ac:dyDescent="0.25">
      <c r="A329" s="4" t="s">
        <v>228</v>
      </c>
      <c r="B329" s="3" t="s">
        <v>219</v>
      </c>
      <c r="C329" s="73">
        <v>42.72</v>
      </c>
      <c r="D329" s="33"/>
      <c r="E329" s="78" t="s">
        <v>568</v>
      </c>
      <c r="F329" s="78" t="s">
        <v>227</v>
      </c>
    </row>
    <row r="330" spans="1:6" s="6" customFormat="1" ht="69" x14ac:dyDescent="0.25">
      <c r="A330" s="4" t="s">
        <v>230</v>
      </c>
      <c r="B330" s="3" t="s">
        <v>344</v>
      </c>
      <c r="C330" s="73">
        <v>18</v>
      </c>
      <c r="D330" s="33"/>
      <c r="E330" s="78" t="s">
        <v>231</v>
      </c>
      <c r="F330" s="78" t="s">
        <v>232</v>
      </c>
    </row>
    <row r="331" spans="1:6" s="6" customFormat="1" x14ac:dyDescent="0.25">
      <c r="A331" s="4"/>
      <c r="B331" s="4"/>
      <c r="C331" s="33"/>
      <c r="D331" s="25"/>
      <c r="E331" s="24"/>
      <c r="F331" s="65"/>
    </row>
    <row r="332" spans="1:6" s="63" customFormat="1" x14ac:dyDescent="0.25">
      <c r="A332" s="64" t="s">
        <v>35</v>
      </c>
      <c r="B332" s="56"/>
      <c r="C332" s="57"/>
      <c r="D332" s="58"/>
      <c r="E332" s="59"/>
      <c r="F332" s="78"/>
    </row>
    <row r="333" spans="1:6" s="63" customFormat="1" x14ac:dyDescent="0.25">
      <c r="A333" s="158" t="s">
        <v>569</v>
      </c>
      <c r="B333" s="56"/>
      <c r="C333" s="57"/>
      <c r="D333" s="58"/>
      <c r="E333" s="59"/>
      <c r="F333" s="78"/>
    </row>
    <row r="334" spans="1:6" s="63" customFormat="1" ht="82.8" x14ac:dyDescent="0.25">
      <c r="A334" s="158" t="s">
        <v>642</v>
      </c>
      <c r="B334" s="56" t="s">
        <v>144</v>
      </c>
      <c r="C334" s="58">
        <f>6.55*19</f>
        <v>124.45</v>
      </c>
      <c r="D334" s="58"/>
      <c r="E334" s="78" t="s">
        <v>244</v>
      </c>
      <c r="F334" s="78" t="s">
        <v>236</v>
      </c>
    </row>
    <row r="335" spans="1:6" s="63" customFormat="1" ht="41.4" x14ac:dyDescent="0.25">
      <c r="A335" s="158" t="s">
        <v>246</v>
      </c>
      <c r="B335" s="56" t="s">
        <v>144</v>
      </c>
      <c r="C335" s="58">
        <f>C319*7.8</f>
        <v>23.4</v>
      </c>
      <c r="D335" s="58"/>
      <c r="E335" s="59"/>
      <c r="F335" s="78" t="s">
        <v>236</v>
      </c>
    </row>
    <row r="336" spans="1:6" ht="41.4" x14ac:dyDescent="0.25">
      <c r="A336" s="2" t="s">
        <v>237</v>
      </c>
      <c r="B336" s="4" t="s">
        <v>144</v>
      </c>
      <c r="C336" s="73">
        <v>6.66</v>
      </c>
      <c r="D336" s="25"/>
      <c r="E336" s="78" t="s">
        <v>571</v>
      </c>
      <c r="F336" s="78" t="s">
        <v>236</v>
      </c>
    </row>
    <row r="337" spans="1:6" ht="41.4" x14ac:dyDescent="0.25">
      <c r="A337" s="70" t="s">
        <v>643</v>
      </c>
      <c r="B337" s="4"/>
      <c r="C337" s="73">
        <f>C321</f>
        <v>2.8570000000000002</v>
      </c>
      <c r="D337" s="25"/>
      <c r="E337" s="78"/>
      <c r="F337" s="78" t="s">
        <v>163</v>
      </c>
    </row>
    <row r="338" spans="1:6" ht="26.25" customHeight="1" x14ac:dyDescent="0.25">
      <c r="A338" s="2" t="s">
        <v>249</v>
      </c>
      <c r="B338" s="4" t="s">
        <v>344</v>
      </c>
      <c r="C338" s="23">
        <v>18</v>
      </c>
      <c r="D338" s="25"/>
      <c r="E338" s="78"/>
      <c r="F338" s="78" t="s">
        <v>250</v>
      </c>
    </row>
    <row r="339" spans="1:6" ht="55.2" x14ac:dyDescent="0.25">
      <c r="A339" s="2" t="s">
        <v>251</v>
      </c>
      <c r="B339" s="4" t="s">
        <v>144</v>
      </c>
      <c r="C339" s="73">
        <f>C325</f>
        <v>16.8</v>
      </c>
      <c r="D339" s="25"/>
      <c r="E339" s="78" t="s">
        <v>252</v>
      </c>
      <c r="F339" s="78" t="s">
        <v>253</v>
      </c>
    </row>
    <row r="340" spans="1:6" s="6" customFormat="1" ht="69" x14ac:dyDescent="0.25">
      <c r="A340" s="4" t="s">
        <v>460</v>
      </c>
      <c r="B340" s="4" t="s">
        <v>144</v>
      </c>
      <c r="C340" s="73">
        <f>12.9749*0.915</f>
        <v>11.872033500000001</v>
      </c>
      <c r="D340" s="33"/>
      <c r="E340" s="78" t="s">
        <v>573</v>
      </c>
      <c r="F340" s="78" t="s">
        <v>158</v>
      </c>
    </row>
    <row r="341" spans="1:6" ht="24.9" customHeight="1" x14ac:dyDescent="0.25">
      <c r="A341" s="4" t="s">
        <v>255</v>
      </c>
      <c r="B341" s="4" t="s">
        <v>156</v>
      </c>
      <c r="C341" s="23">
        <f>0.1*(((SUM(C327:C329)/1.36)/1000)*600)</f>
        <v>20.732647058823531</v>
      </c>
      <c r="D341" s="34"/>
      <c r="E341" s="78" t="s">
        <v>462</v>
      </c>
      <c r="F341" s="78"/>
    </row>
    <row r="342" spans="1:6" x14ac:dyDescent="0.25">
      <c r="A342" s="4"/>
      <c r="B342" s="98"/>
      <c r="C342" s="34"/>
      <c r="D342" s="25"/>
      <c r="E342" s="24"/>
      <c r="F342" s="78"/>
    </row>
    <row r="343" spans="1:6" x14ac:dyDescent="0.25">
      <c r="A343" s="48" t="s">
        <v>544</v>
      </c>
      <c r="B343" s="15"/>
      <c r="C343" s="25"/>
      <c r="D343" s="25"/>
      <c r="E343" s="24"/>
      <c r="F343" s="78"/>
    </row>
    <row r="344" spans="1:6" x14ac:dyDescent="0.25">
      <c r="A344" s="16"/>
      <c r="B344" s="15"/>
      <c r="C344" s="25"/>
      <c r="D344" s="25"/>
      <c r="E344" s="24"/>
      <c r="F344" s="78"/>
    </row>
    <row r="345" spans="1:6" x14ac:dyDescent="0.25">
      <c r="A345" s="16"/>
      <c r="B345" s="15"/>
      <c r="C345" s="25"/>
      <c r="D345" s="25"/>
      <c r="E345" s="24"/>
      <c r="F345" s="78"/>
    </row>
    <row r="346" spans="1:6" ht="27.6" x14ac:dyDescent="0.25">
      <c r="A346" s="10" t="s">
        <v>644</v>
      </c>
      <c r="B346" s="11" t="s">
        <v>10</v>
      </c>
      <c r="C346" s="11" t="s">
        <v>1</v>
      </c>
      <c r="D346" s="11" t="s">
        <v>12</v>
      </c>
      <c r="E346" s="35" t="s">
        <v>13</v>
      </c>
      <c r="F346" s="78"/>
    </row>
    <row r="347" spans="1:6" ht="59.4" customHeight="1" x14ac:dyDescent="0.25">
      <c r="A347" s="66" t="s">
        <v>177</v>
      </c>
      <c r="B347" s="216" t="s">
        <v>645</v>
      </c>
      <c r="C347" s="217"/>
      <c r="D347" s="217"/>
      <c r="E347" s="218"/>
      <c r="F347" s="78"/>
    </row>
    <row r="348" spans="1:6" x14ac:dyDescent="0.25">
      <c r="A348" s="66" t="s">
        <v>22</v>
      </c>
      <c r="B348" s="11"/>
      <c r="C348" s="11"/>
      <c r="D348" s="11"/>
      <c r="E348" s="11"/>
      <c r="F348" s="78"/>
    </row>
    <row r="349" spans="1:6" x14ac:dyDescent="0.25">
      <c r="A349" s="66" t="s">
        <v>25</v>
      </c>
      <c r="B349" s="11" t="s">
        <v>115</v>
      </c>
      <c r="C349" s="11">
        <v>155</v>
      </c>
      <c r="D349" s="11"/>
      <c r="E349" s="11" t="s">
        <v>576</v>
      </c>
      <c r="F349" s="78"/>
    </row>
    <row r="350" spans="1:6" x14ac:dyDescent="0.25">
      <c r="A350" s="46" t="s">
        <v>26</v>
      </c>
      <c r="B350" s="15"/>
      <c r="C350" s="34"/>
      <c r="D350" s="25"/>
      <c r="E350" s="24"/>
      <c r="F350" s="78"/>
    </row>
    <row r="351" spans="1:6" s="6" customFormat="1" x14ac:dyDescent="0.25">
      <c r="A351" s="4" t="s">
        <v>569</v>
      </c>
      <c r="B351" s="4" t="s">
        <v>128</v>
      </c>
      <c r="C351" s="33">
        <v>1</v>
      </c>
      <c r="D351" s="25"/>
      <c r="E351" s="24"/>
      <c r="F351" s="78"/>
    </row>
    <row r="352" spans="1:6" ht="15.6" x14ac:dyDescent="0.25">
      <c r="A352" s="4" t="s">
        <v>130</v>
      </c>
      <c r="B352" s="4" t="s">
        <v>131</v>
      </c>
      <c r="C352" s="23">
        <f>(10/26280000)*(155)</f>
        <v>5.8980213089802132E-5</v>
      </c>
      <c r="D352" s="143"/>
      <c r="E352" s="78" t="s">
        <v>466</v>
      </c>
      <c r="F352" s="78"/>
    </row>
    <row r="353" spans="1:14" x14ac:dyDescent="0.25">
      <c r="A353" s="4" t="s">
        <v>134</v>
      </c>
      <c r="B353" s="4" t="s">
        <v>125</v>
      </c>
      <c r="C353" s="23">
        <f>($C$199/2825)*C349</f>
        <v>2.1527777777777778E-2</v>
      </c>
      <c r="D353" s="146"/>
      <c r="E353" s="78" t="s">
        <v>135</v>
      </c>
      <c r="F353" s="78"/>
      <c r="G353" s="24"/>
      <c r="H353" s="19"/>
      <c r="I353" s="25"/>
      <c r="J353" s="55"/>
      <c r="K353" s="55"/>
      <c r="L353" s="2"/>
      <c r="M353" s="78"/>
      <c r="N353" s="161"/>
    </row>
    <row r="354" spans="1:14" x14ac:dyDescent="0.25">
      <c r="A354" s="4" t="s">
        <v>286</v>
      </c>
      <c r="B354" s="4" t="s">
        <v>33</v>
      </c>
      <c r="C354" s="171"/>
      <c r="D354" s="167">
        <v>3.3000000000000002E-2</v>
      </c>
      <c r="E354" s="78" t="s">
        <v>467</v>
      </c>
      <c r="F354" s="78"/>
    </row>
    <row r="355" spans="1:14" ht="27.6" x14ac:dyDescent="0.25">
      <c r="A355" s="4" t="s">
        <v>577</v>
      </c>
      <c r="B355" s="4" t="s">
        <v>33</v>
      </c>
      <c r="C355" s="169">
        <f>Allokationen!E67</f>
        <v>28.233989211001909</v>
      </c>
      <c r="D355" s="152"/>
      <c r="E355" s="78" t="s">
        <v>289</v>
      </c>
      <c r="F355" s="78"/>
    </row>
    <row r="356" spans="1:14" ht="27.6" x14ac:dyDescent="0.25">
      <c r="A356" s="4" t="s">
        <v>399</v>
      </c>
      <c r="B356" s="4" t="s">
        <v>33</v>
      </c>
      <c r="C356" s="169">
        <f>Allokationen!F67</f>
        <v>78.094012711281877</v>
      </c>
      <c r="D356" s="152"/>
      <c r="E356" s="78" t="s">
        <v>289</v>
      </c>
      <c r="F356" s="78"/>
    </row>
    <row r="357" spans="1:14" ht="177" customHeight="1" x14ac:dyDescent="0.25">
      <c r="A357" s="4" t="s">
        <v>291</v>
      </c>
      <c r="B357" s="4" t="s">
        <v>188</v>
      </c>
      <c r="C357" s="23">
        <f>28*300</f>
        <v>8400</v>
      </c>
      <c r="D357" s="80"/>
      <c r="E357" s="78" t="s">
        <v>578</v>
      </c>
      <c r="F357" s="78" t="s">
        <v>190</v>
      </c>
    </row>
    <row r="358" spans="1:14" ht="27.6" x14ac:dyDescent="0.25">
      <c r="A358" s="4" t="s">
        <v>293</v>
      </c>
      <c r="B358" s="4" t="s">
        <v>350</v>
      </c>
      <c r="C358" s="23">
        <f>((80*1+15*2+3*3+2*4)/100)*15.5</f>
        <v>19.684999999999999</v>
      </c>
      <c r="D358" s="34"/>
      <c r="E358" s="78" t="s">
        <v>294</v>
      </c>
      <c r="F358" s="78"/>
      <c r="G358" s="24"/>
      <c r="H358" s="19"/>
      <c r="I358" s="19"/>
      <c r="J358" s="28"/>
      <c r="K358" s="28"/>
      <c r="L358" s="2"/>
      <c r="M358" s="78"/>
      <c r="N358" s="78"/>
    </row>
    <row r="359" spans="1:14" x14ac:dyDescent="0.25">
      <c r="A359" s="4" t="s">
        <v>86</v>
      </c>
      <c r="B359" s="4" t="s">
        <v>295</v>
      </c>
      <c r="C359" s="73">
        <v>475</v>
      </c>
      <c r="D359" s="34"/>
      <c r="E359" s="78" t="s">
        <v>579</v>
      </c>
      <c r="F359" s="78"/>
    </row>
    <row r="360" spans="1:14" x14ac:dyDescent="0.25">
      <c r="A360" s="4" t="s">
        <v>297</v>
      </c>
      <c r="B360" s="4" t="s">
        <v>295</v>
      </c>
      <c r="C360" s="73">
        <v>400</v>
      </c>
      <c r="D360" s="34"/>
      <c r="E360" s="78" t="s">
        <v>579</v>
      </c>
      <c r="F360" s="78"/>
    </row>
    <row r="361" spans="1:14" ht="69" x14ac:dyDescent="0.25">
      <c r="A361" s="4" t="s">
        <v>299</v>
      </c>
      <c r="B361" s="4" t="s">
        <v>144</v>
      </c>
      <c r="C361" s="73">
        <f>124/10</f>
        <v>12.4</v>
      </c>
      <c r="D361" s="34"/>
      <c r="E361" s="78" t="s">
        <v>300</v>
      </c>
      <c r="F361" s="78" t="s">
        <v>301</v>
      </c>
    </row>
    <row r="362" spans="1:14" ht="41.4" x14ac:dyDescent="0.25">
      <c r="A362" s="2" t="s">
        <v>302</v>
      </c>
      <c r="B362" s="4" t="s">
        <v>144</v>
      </c>
      <c r="C362" s="34">
        <f>1/(8*21*2)*1000</f>
        <v>2.9761904761904758</v>
      </c>
      <c r="D362" s="34"/>
      <c r="E362" s="78" t="s">
        <v>510</v>
      </c>
      <c r="F362" s="78"/>
    </row>
    <row r="363" spans="1:14" x14ac:dyDescent="0.25">
      <c r="A363" s="2" t="s">
        <v>304</v>
      </c>
      <c r="B363" s="4" t="s">
        <v>144</v>
      </c>
      <c r="C363" s="34">
        <f>1/(8*21*2)*1000</f>
        <v>2.9761904761904758</v>
      </c>
      <c r="D363" s="34"/>
      <c r="E363" s="78"/>
      <c r="F363" s="78"/>
    </row>
    <row r="364" spans="1:14" x14ac:dyDescent="0.25">
      <c r="A364" s="16"/>
      <c r="B364" s="4"/>
      <c r="C364" s="34"/>
      <c r="D364" s="25"/>
      <c r="E364" s="24"/>
      <c r="F364" s="78"/>
    </row>
    <row r="365" spans="1:14" x14ac:dyDescent="0.25">
      <c r="A365" s="48" t="s">
        <v>35</v>
      </c>
      <c r="B365" s="4"/>
      <c r="C365" s="25"/>
      <c r="D365" s="25"/>
      <c r="E365" s="24"/>
      <c r="F365" s="78"/>
    </row>
    <row r="366" spans="1:14" x14ac:dyDescent="0.25">
      <c r="A366" s="4" t="s">
        <v>580</v>
      </c>
      <c r="B366" s="98" t="s">
        <v>539</v>
      </c>
      <c r="C366" s="34">
        <v>1</v>
      </c>
      <c r="D366" s="25"/>
      <c r="E366" s="24"/>
      <c r="F366" s="78"/>
    </row>
    <row r="367" spans="1:14" ht="55.2" x14ac:dyDescent="0.25">
      <c r="A367" s="2" t="s">
        <v>306</v>
      </c>
      <c r="B367" s="4"/>
      <c r="C367" s="73">
        <f>C358</f>
        <v>19.684999999999999</v>
      </c>
      <c r="D367" s="25"/>
      <c r="E367" s="121"/>
      <c r="F367" s="78" t="s">
        <v>253</v>
      </c>
    </row>
    <row r="368" spans="1:14" ht="55.2" x14ac:dyDescent="0.25">
      <c r="A368" s="2" t="s">
        <v>308</v>
      </c>
      <c r="B368" s="4" t="s">
        <v>144</v>
      </c>
      <c r="C368" s="73">
        <f>C323</f>
        <v>30.75864</v>
      </c>
      <c r="D368" s="25"/>
      <c r="E368" s="78" t="s">
        <v>473</v>
      </c>
      <c r="F368" s="78" t="s">
        <v>253</v>
      </c>
    </row>
    <row r="369" spans="1:14" ht="45" customHeight="1" x14ac:dyDescent="0.25">
      <c r="A369" s="2" t="s">
        <v>310</v>
      </c>
      <c r="B369" s="3" t="s">
        <v>144</v>
      </c>
      <c r="C369" s="73">
        <f>C322</f>
        <v>27.096343079999997</v>
      </c>
      <c r="D369" s="25"/>
      <c r="E369" s="78" t="s">
        <v>311</v>
      </c>
      <c r="F369" s="78" t="s">
        <v>253</v>
      </c>
    </row>
    <row r="370" spans="1:14" ht="55.2" x14ac:dyDescent="0.25">
      <c r="A370" s="4" t="s">
        <v>474</v>
      </c>
      <c r="B370" s="4" t="s">
        <v>144</v>
      </c>
      <c r="C370" s="73">
        <f>C324-C340</f>
        <v>222.34966650000001</v>
      </c>
      <c r="D370" s="34"/>
      <c r="E370" s="78" t="s">
        <v>311</v>
      </c>
      <c r="F370" s="78" t="s">
        <v>253</v>
      </c>
    </row>
    <row r="371" spans="1:14" ht="55.2" x14ac:dyDescent="0.25">
      <c r="A371" s="4" t="s">
        <v>312</v>
      </c>
      <c r="B371" s="4" t="s">
        <v>144</v>
      </c>
      <c r="C371" s="23">
        <f>C361</f>
        <v>12.4</v>
      </c>
      <c r="D371" s="34"/>
      <c r="E371" s="78" t="s">
        <v>311</v>
      </c>
      <c r="F371" s="78" t="s">
        <v>253</v>
      </c>
    </row>
    <row r="372" spans="1:14" x14ac:dyDescent="0.25">
      <c r="A372" s="4" t="s">
        <v>255</v>
      </c>
      <c r="B372" s="4" t="s">
        <v>156</v>
      </c>
      <c r="C372" s="23">
        <f>0.1* (((C359/1.028)/1000)*850+((C360/0.982)/1000)*650)</f>
        <v>65.751870240199068</v>
      </c>
      <c r="D372" s="34"/>
      <c r="E372" s="78" t="s">
        <v>475</v>
      </c>
      <c r="F372" s="78"/>
    </row>
    <row r="373" spans="1:14" x14ac:dyDescent="0.25">
      <c r="A373" s="4"/>
      <c r="B373" s="4"/>
      <c r="C373" s="23"/>
      <c r="D373" s="34"/>
      <c r="E373" s="78"/>
      <c r="F373" s="78"/>
    </row>
    <row r="374" spans="1:14" x14ac:dyDescent="0.25">
      <c r="A374" s="48" t="s">
        <v>544</v>
      </c>
      <c r="B374" s="15"/>
      <c r="C374" s="25"/>
      <c r="D374" s="25"/>
      <c r="E374" s="24"/>
      <c r="F374" s="78"/>
    </row>
    <row r="375" spans="1:14" x14ac:dyDescent="0.25">
      <c r="A375" s="16"/>
      <c r="B375" s="3"/>
      <c r="C375" s="25"/>
      <c r="D375" s="25"/>
      <c r="E375" s="24"/>
      <c r="F375" s="78"/>
    </row>
    <row r="376" spans="1:14" x14ac:dyDescent="0.25">
      <c r="A376" s="16"/>
      <c r="B376" s="3"/>
      <c r="C376" s="25"/>
      <c r="D376" s="25"/>
      <c r="E376" s="24"/>
      <c r="F376" s="78"/>
    </row>
    <row r="377" spans="1:14" ht="27.6" x14ac:dyDescent="0.25">
      <c r="A377" s="10" t="s">
        <v>646</v>
      </c>
      <c r="B377" s="11" t="s">
        <v>10</v>
      </c>
      <c r="C377" s="11" t="s">
        <v>1</v>
      </c>
      <c r="D377" s="11" t="s">
        <v>12</v>
      </c>
      <c r="E377" s="35" t="s">
        <v>13</v>
      </c>
      <c r="F377" s="78"/>
    </row>
    <row r="378" spans="1:14" ht="36.9" customHeight="1" x14ac:dyDescent="0.25">
      <c r="A378" s="66" t="s">
        <v>177</v>
      </c>
      <c r="B378" s="216" t="s">
        <v>647</v>
      </c>
      <c r="C378" s="217"/>
      <c r="D378" s="217"/>
      <c r="E378" s="218"/>
      <c r="F378" s="78"/>
    </row>
    <row r="379" spans="1:14" x14ac:dyDescent="0.25">
      <c r="A379" s="66" t="s">
        <v>22</v>
      </c>
      <c r="B379" s="11"/>
      <c r="C379" s="11"/>
      <c r="D379" s="11"/>
      <c r="E379" s="11"/>
      <c r="F379" s="78"/>
    </row>
    <row r="380" spans="1:14" x14ac:dyDescent="0.25">
      <c r="A380" s="66" t="s">
        <v>25</v>
      </c>
      <c r="B380" s="11" t="s">
        <v>115</v>
      </c>
      <c r="C380" s="11">
        <v>180</v>
      </c>
      <c r="D380" s="11"/>
      <c r="E380" s="11"/>
      <c r="F380" s="78"/>
    </row>
    <row r="381" spans="1:14" x14ac:dyDescent="0.25">
      <c r="A381" s="48" t="s">
        <v>26</v>
      </c>
      <c r="B381" s="4"/>
      <c r="C381" s="25"/>
      <c r="D381" s="25"/>
      <c r="E381" s="159"/>
      <c r="F381" s="78"/>
    </row>
    <row r="382" spans="1:14" s="6" customFormat="1" x14ac:dyDescent="0.25">
      <c r="A382" s="4" t="s">
        <v>580</v>
      </c>
      <c r="B382" s="4" t="s">
        <v>128</v>
      </c>
      <c r="C382" s="33">
        <v>1</v>
      </c>
      <c r="D382" s="25"/>
      <c r="E382" s="24"/>
      <c r="F382" s="78"/>
    </row>
    <row r="383" spans="1:14" ht="15.6" x14ac:dyDescent="0.25">
      <c r="A383" s="4" t="s">
        <v>130</v>
      </c>
      <c r="B383" s="4" t="s">
        <v>131</v>
      </c>
      <c r="C383" s="23">
        <f>(20/26280000)*(180)</f>
        <v>1.36986301369863E-4</v>
      </c>
      <c r="D383" s="143"/>
      <c r="E383" s="78" t="s">
        <v>325</v>
      </c>
      <c r="F383" s="78"/>
    </row>
    <row r="384" spans="1:14" x14ac:dyDescent="0.25">
      <c r="A384" s="4" t="s">
        <v>134</v>
      </c>
      <c r="B384" s="4" t="s">
        <v>125</v>
      </c>
      <c r="C384" s="23">
        <f>($C$199/2825)*C380</f>
        <v>2.5000000000000001E-2</v>
      </c>
      <c r="D384" s="146"/>
      <c r="E384" s="78" t="s">
        <v>135</v>
      </c>
      <c r="F384" s="78"/>
      <c r="G384" s="24"/>
      <c r="H384" s="19"/>
      <c r="I384" s="25"/>
      <c r="J384" s="55"/>
      <c r="K384" s="55"/>
      <c r="L384" s="2"/>
      <c r="M384" s="78"/>
      <c r="N384" s="161"/>
    </row>
    <row r="385" spans="1:14" x14ac:dyDescent="0.25">
      <c r="A385" s="4" t="s">
        <v>577</v>
      </c>
      <c r="B385" s="4" t="s">
        <v>33</v>
      </c>
      <c r="C385" s="169">
        <f>Allokationen!E68</f>
        <v>16.633341190829704</v>
      </c>
      <c r="D385" s="170"/>
      <c r="E385" s="78" t="s">
        <v>137</v>
      </c>
      <c r="F385" s="78"/>
    </row>
    <row r="386" spans="1:14" x14ac:dyDescent="0.25">
      <c r="A386" s="4" t="s">
        <v>399</v>
      </c>
      <c r="B386" s="4" t="s">
        <v>33</v>
      </c>
      <c r="C386" s="169">
        <f>Allokationen!F68</f>
        <v>46.007113932082156</v>
      </c>
      <c r="D386" s="170"/>
      <c r="E386" s="78" t="s">
        <v>137</v>
      </c>
      <c r="F386" s="78"/>
    </row>
    <row r="387" spans="1:14" s="86" customFormat="1" ht="55.2" x14ac:dyDescent="0.25">
      <c r="A387" s="4" t="s">
        <v>583</v>
      </c>
      <c r="B387" s="2" t="s">
        <v>144</v>
      </c>
      <c r="C387" s="25">
        <f>464.2+580+131.2</f>
        <v>1175.4000000000001</v>
      </c>
      <c r="D387" s="25"/>
      <c r="E387" s="83" t="s">
        <v>584</v>
      </c>
      <c r="F387" s="78"/>
      <c r="G387" s="1"/>
      <c r="H387" s="1"/>
      <c r="I387" s="1"/>
      <c r="J387" s="1"/>
      <c r="K387" s="1"/>
      <c r="L387" s="1"/>
      <c r="M387" s="1"/>
      <c r="N387" s="1"/>
    </row>
    <row r="388" spans="1:14" x14ac:dyDescent="0.25">
      <c r="A388" s="70" t="s">
        <v>335</v>
      </c>
      <c r="B388" s="15" t="s">
        <v>144</v>
      </c>
      <c r="C388" s="73">
        <v>20</v>
      </c>
      <c r="D388" s="25"/>
      <c r="E388" s="78" t="s">
        <v>147</v>
      </c>
      <c r="F388" s="78"/>
    </row>
    <row r="389" spans="1:14" ht="117.75" customHeight="1" x14ac:dyDescent="0.25">
      <c r="A389" s="70" t="s">
        <v>648</v>
      </c>
      <c r="B389" s="15" t="s">
        <v>144</v>
      </c>
      <c r="C389" s="73">
        <f>1760*0.7</f>
        <v>1232</v>
      </c>
      <c r="D389" s="25"/>
      <c r="E389" s="78" t="s">
        <v>649</v>
      </c>
      <c r="F389" s="78" t="s">
        <v>650</v>
      </c>
    </row>
    <row r="390" spans="1:14" x14ac:dyDescent="0.25">
      <c r="A390" s="70" t="s">
        <v>651</v>
      </c>
      <c r="B390" s="15" t="s">
        <v>156</v>
      </c>
      <c r="C390" s="73">
        <f>734/2</f>
        <v>367</v>
      </c>
      <c r="D390" s="25"/>
      <c r="E390" s="113" t="s">
        <v>652</v>
      </c>
      <c r="F390" s="78" t="s">
        <v>653</v>
      </c>
    </row>
    <row r="391" spans="1:14" s="6" customFormat="1" ht="41.4" x14ac:dyDescent="0.25">
      <c r="A391" s="4" t="s">
        <v>140</v>
      </c>
      <c r="B391" s="3" t="s">
        <v>141</v>
      </c>
      <c r="C391" s="73">
        <f>180/2100</f>
        <v>8.5714285714285715E-2</v>
      </c>
      <c r="D391" s="33"/>
      <c r="E391" s="78" t="s">
        <v>142</v>
      </c>
      <c r="F391" s="78"/>
    </row>
    <row r="392" spans="1:14" s="6" customFormat="1" ht="69" x14ac:dyDescent="0.25">
      <c r="A392" s="4" t="s">
        <v>151</v>
      </c>
      <c r="B392" s="3" t="s">
        <v>144</v>
      </c>
      <c r="C392" s="23">
        <f>2*(770*0.00526316)</f>
        <v>8.1052663999999996</v>
      </c>
      <c r="D392" s="33"/>
      <c r="E392" s="78" t="s">
        <v>152</v>
      </c>
      <c r="F392" s="78" t="s">
        <v>153</v>
      </c>
    </row>
    <row r="393" spans="1:14" x14ac:dyDescent="0.25">
      <c r="A393" s="16"/>
      <c r="B393" s="4"/>
      <c r="C393" s="25"/>
      <c r="D393" s="25"/>
      <c r="E393" s="159"/>
      <c r="F393" s="78"/>
    </row>
    <row r="394" spans="1:14" x14ac:dyDescent="0.25">
      <c r="A394" s="48" t="s">
        <v>35</v>
      </c>
      <c r="B394" s="4"/>
      <c r="C394" s="25"/>
      <c r="D394" s="25"/>
      <c r="E394" s="24"/>
      <c r="F394" s="78"/>
    </row>
    <row r="395" spans="1:14" x14ac:dyDescent="0.25">
      <c r="A395" s="4" t="s">
        <v>585</v>
      </c>
      <c r="B395" s="98" t="s">
        <v>539</v>
      </c>
      <c r="C395" s="34">
        <v>1</v>
      </c>
      <c r="D395" s="25"/>
      <c r="E395" s="24"/>
      <c r="F395" s="78"/>
    </row>
    <row r="396" spans="1:14" ht="47.4" customHeight="1" x14ac:dyDescent="0.25">
      <c r="A396" s="70" t="s">
        <v>159</v>
      </c>
      <c r="B396" s="4" t="s">
        <v>156</v>
      </c>
      <c r="C396" s="73">
        <f>C388</f>
        <v>20</v>
      </c>
      <c r="D396" s="25"/>
      <c r="E396" s="78"/>
      <c r="F396" s="78" t="s">
        <v>158</v>
      </c>
    </row>
    <row r="397" spans="1:14" ht="26.25" customHeight="1" x14ac:dyDescent="0.25">
      <c r="A397" s="70" t="s">
        <v>160</v>
      </c>
      <c r="B397" s="4" t="s">
        <v>144</v>
      </c>
      <c r="C397" s="73">
        <f>C392</f>
        <v>8.1052663999999996</v>
      </c>
      <c r="D397" s="25"/>
      <c r="E397" s="78"/>
      <c r="F397" s="78" t="s">
        <v>161</v>
      </c>
    </row>
    <row r="398" spans="1:14" ht="27.9" customHeight="1" x14ac:dyDescent="0.25">
      <c r="A398" s="70" t="s">
        <v>162</v>
      </c>
      <c r="B398" s="4" t="s">
        <v>144</v>
      </c>
      <c r="C398" s="73">
        <f>C391*0.2</f>
        <v>1.7142857142857144E-2</v>
      </c>
      <c r="D398" s="25"/>
      <c r="E398" s="78"/>
      <c r="F398" s="78" t="s">
        <v>163</v>
      </c>
    </row>
    <row r="399" spans="1:14" ht="27.9" customHeight="1" x14ac:dyDescent="0.25">
      <c r="A399" s="70"/>
      <c r="B399" s="4"/>
      <c r="C399" s="73"/>
      <c r="D399" s="25"/>
      <c r="E399" s="78"/>
      <c r="F399" s="78"/>
    </row>
    <row r="400" spans="1:14" x14ac:dyDescent="0.25">
      <c r="A400" s="48" t="s">
        <v>544</v>
      </c>
      <c r="B400" s="15"/>
      <c r="C400" s="25"/>
      <c r="D400" s="25"/>
      <c r="E400" s="24"/>
      <c r="F400" s="78"/>
    </row>
    <row r="401" spans="1:6" x14ac:dyDescent="0.25">
      <c r="A401" s="16"/>
      <c r="B401" s="4"/>
      <c r="C401" s="25"/>
      <c r="D401" s="25"/>
      <c r="E401" s="113"/>
      <c r="F401" s="78"/>
    </row>
    <row r="402" spans="1:6" x14ac:dyDescent="0.25">
      <c r="A402" s="16"/>
      <c r="B402" s="4"/>
      <c r="C402" s="25"/>
      <c r="D402" s="25"/>
      <c r="E402" s="113"/>
      <c r="F402" s="78"/>
    </row>
    <row r="403" spans="1:6" x14ac:dyDescent="0.25">
      <c r="E403" s="1"/>
    </row>
    <row r="404" spans="1:6" x14ac:dyDescent="0.25">
      <c r="E404" s="1"/>
    </row>
    <row r="405" spans="1:6" x14ac:dyDescent="0.25">
      <c r="E405" s="1"/>
    </row>
    <row r="406" spans="1:6" x14ac:dyDescent="0.25">
      <c r="E406" s="1"/>
    </row>
    <row r="407" spans="1:6" x14ac:dyDescent="0.25">
      <c r="E407" s="1"/>
    </row>
    <row r="408" spans="1:6" x14ac:dyDescent="0.25">
      <c r="E408" s="1"/>
    </row>
    <row r="409" spans="1:6" x14ac:dyDescent="0.25">
      <c r="E409" s="1"/>
    </row>
    <row r="410" spans="1:6" x14ac:dyDescent="0.25">
      <c r="E410" s="1"/>
    </row>
    <row r="411" spans="1:6" x14ac:dyDescent="0.25">
      <c r="E411" s="1"/>
    </row>
    <row r="412" spans="1:6" x14ac:dyDescent="0.25">
      <c r="E412" s="1"/>
    </row>
    <row r="413" spans="1:6" x14ac:dyDescent="0.25">
      <c r="E413" s="1"/>
    </row>
    <row r="414" spans="1:6" x14ac:dyDescent="0.25">
      <c r="E414" s="1"/>
    </row>
    <row r="415" spans="1:6" x14ac:dyDescent="0.25">
      <c r="E415" s="1"/>
    </row>
  </sheetData>
  <mergeCells count="16">
    <mergeCell ref="E10:E20"/>
    <mergeCell ref="D21:E21"/>
    <mergeCell ref="D199:E199"/>
    <mergeCell ref="C194:D194"/>
    <mergeCell ref="B29:E29"/>
    <mergeCell ref="B52:E52"/>
    <mergeCell ref="B81:E81"/>
    <mergeCell ref="B131:E131"/>
    <mergeCell ref="B162:E162"/>
    <mergeCell ref="B378:E378"/>
    <mergeCell ref="B347:E347"/>
    <mergeCell ref="B208:D208"/>
    <mergeCell ref="B213:E213"/>
    <mergeCell ref="B243:E243"/>
    <mergeCell ref="B272:E272"/>
    <mergeCell ref="B307:E307"/>
  </mergeCells>
  <dataValidations count="10">
    <dataValidation type="list" allowBlank="1" showInputMessage="1" showErrorMessage="1" sqref="E148:E149 E335 E331:E333 E310:E311 E394 E382 E344:E345 E128:E129 E159:E160 E84:E85 E375:E376 E350:E351 E364:E365 E134:E135 E165:E166 E176" xr:uid="{00000000-0002-0000-0500-000004000000}">
      <formula1>$A$536:$A$542</formula1>
    </dataValidation>
    <dataValidation type="list" allowBlank="1" showInputMessage="1" showErrorMessage="1" sqref="E268:E270 E246:E247 E258:E259" xr:uid="{00000000-0002-0000-0500-000008000000}">
      <formula1>$A$610:$A$616</formula1>
    </dataValidation>
    <dataValidation type="list" allowBlank="1" showInputMessage="1" showErrorMessage="1" sqref="E76:E77 E27:F27 E69 E32:E33 E374 E47:E50 E342:E343 E211 E157:E158 E126:E127 E181:E182 E260:E267 E177:E178 E240:E241 E216:E217 E232:E233 E366 E395:E396 E400 E150 E295:E300 E302:E303 F32" xr:uid="{00000000-0002-0000-0500-00000A000000}">
      <formula1>$A$608:$A$614</formula1>
    </dataValidation>
    <dataValidation type="list" allowBlank="1" showInputMessage="1" showErrorMessage="1" sqref="E78:E79 E67:E68 E55:E56" xr:uid="{00000000-0002-0000-0500-000006000000}">
      <formula1>$A$593:$A$599</formula1>
    </dataValidation>
    <dataValidation type="list" allowBlank="1" showInputMessage="1" showErrorMessage="1" sqref="E304:E305 E293:E294 E275:E276" xr:uid="{00000000-0002-0000-0500-000002000000}">
      <formula1>$A$457:$A$463</formula1>
    </dataValidation>
    <dataValidation type="list" allowBlank="1" showInputMessage="1" showErrorMessage="1" sqref="F250:F257 F234:F239 F385:F386 F91 F169:F170 D355:D356 F315:F321 F325 F95:F97 F105 F280:F290 F140 C354 F362:F363 F142:F144 F358:F360 F125 F146:F156 F367:F373 F341 H358 F354:F356" xr:uid="{8B7B00C0-D61C-4019-BD45-F080FD3566C7}">
      <formula1>#REF!</formula1>
    </dataValidation>
    <dataValidation type="list" allowBlank="1" showInputMessage="1" showErrorMessage="1" sqref="H35 H58 H313 H219 H168 H87 H353 H384 H249 H278" xr:uid="{3EAF8271-CB45-42EB-A823-51B4772037A9}">
      <formula1>$A$410:$A$415</formula1>
    </dataValidation>
    <dataValidation type="list" allowBlank="1" showInputMessage="1" showErrorMessage="1" sqref="H59 H279" xr:uid="{0AE10C72-FFE4-46E4-8353-AE1E4551AA4B}">
      <formula1>$A$399:$A$404</formula1>
    </dataValidation>
    <dataValidation type="list" allowBlank="1" showInputMessage="1" showErrorMessage="1" sqref="H125 H341" xr:uid="{52F096F4-A004-4932-B996-39BAEFEEBB57}">
      <formula1>$A$377:$A$381</formula1>
    </dataValidation>
    <dataValidation type="list" allowBlank="1" showInputMessage="1" showErrorMessage="1" sqref="H156 H372" xr:uid="{34C1292C-12EF-4BF4-8975-627115731911}">
      <formula1>$A$374:$A$378</formula1>
    </dataValidation>
  </dataValidations>
  <pageMargins left="0.78740157499999996" right="0.78740157499999996" top="0.984251969" bottom="0.984251969" header="0.4921259845" footer="0.4921259845"/>
  <pageSetup paperSize="8" fitToHeight="0" orientation="portrait" r:id="rId1"/>
  <headerFooter alignWithMargins="0">
    <oddFooter>&amp;L&amp;F&amp;C&amp;A&amp;R&amp;P</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60949-13DE-4EDA-A0F5-B6A07FD9E1B7}">
  <sheetPr>
    <tabColor theme="9" tint="-0.499984740745262"/>
  </sheetPr>
  <dimension ref="A1:G92"/>
  <sheetViews>
    <sheetView topLeftCell="A27" workbookViewId="0">
      <selection activeCell="B39" sqref="B39"/>
    </sheetView>
  </sheetViews>
  <sheetFormatPr baseColWidth="10" defaultColWidth="11.44140625" defaultRowHeight="13.2" x14ac:dyDescent="0.25"/>
  <cols>
    <col min="1" max="1" width="41.33203125" customWidth="1"/>
    <col min="3" max="3" width="22.44140625" customWidth="1"/>
    <col min="4" max="4" width="18.44140625" customWidth="1"/>
    <col min="5" max="5" width="18.88671875" customWidth="1"/>
    <col min="6" max="6" width="17.6640625" customWidth="1"/>
  </cols>
  <sheetData>
    <row r="1" spans="1:7" ht="63.75" customHeight="1" x14ac:dyDescent="0.25">
      <c r="A1" s="236" t="s">
        <v>999</v>
      </c>
      <c r="B1" s="237"/>
      <c r="C1" s="237"/>
      <c r="D1" s="237"/>
      <c r="E1" s="237"/>
      <c r="F1" s="237"/>
      <c r="G1" s="238"/>
    </row>
    <row r="3" spans="1:7" x14ac:dyDescent="0.25">
      <c r="B3" s="235" t="s">
        <v>998</v>
      </c>
      <c r="C3" s="235"/>
      <c r="D3" s="235"/>
      <c r="E3" s="235"/>
      <c r="F3" s="235"/>
    </row>
    <row r="4" spans="1:7" x14ac:dyDescent="0.25">
      <c r="B4" s="235"/>
      <c r="C4" s="235"/>
      <c r="D4" s="235"/>
      <c r="E4" s="235"/>
      <c r="F4" s="235"/>
    </row>
    <row r="5" spans="1:7" ht="12.6" customHeight="1" x14ac:dyDescent="0.25">
      <c r="B5" s="242" t="s">
        <v>654</v>
      </c>
      <c r="C5" s="242" t="s">
        <v>655</v>
      </c>
      <c r="D5" s="242" t="s">
        <v>656</v>
      </c>
      <c r="E5" s="242" t="s">
        <v>657</v>
      </c>
      <c r="F5" s="242" t="s">
        <v>658</v>
      </c>
      <c r="G5" s="205"/>
    </row>
    <row r="6" spans="1:7" x14ac:dyDescent="0.25">
      <c r="B6" s="242"/>
      <c r="C6" s="242"/>
      <c r="D6" s="242"/>
      <c r="E6" s="242"/>
      <c r="F6" s="242"/>
      <c r="G6" s="205"/>
    </row>
    <row r="7" spans="1:7" ht="27.75" customHeight="1" x14ac:dyDescent="0.25">
      <c r="A7" s="116" t="s">
        <v>996</v>
      </c>
      <c r="B7" s="204">
        <v>155.20000000000002</v>
      </c>
      <c r="C7" s="204">
        <v>232.80000000000004</v>
      </c>
      <c r="D7" s="204">
        <v>475.3</v>
      </c>
      <c r="E7" s="204">
        <v>591.70000000000005</v>
      </c>
      <c r="F7" s="204">
        <v>1707.2</v>
      </c>
      <c r="G7" s="205"/>
    </row>
    <row r="8" spans="1:7" ht="27.75" customHeight="1" x14ac:dyDescent="0.25">
      <c r="A8" t="s">
        <v>997</v>
      </c>
      <c r="B8" s="204">
        <v>239.9666666666667</v>
      </c>
      <c r="C8" s="204">
        <v>174.10103333333336</v>
      </c>
      <c r="D8" s="204">
        <v>333.86666666666667</v>
      </c>
      <c r="E8" s="204">
        <v>136.83316666666667</v>
      </c>
      <c r="F8" s="204">
        <v>526.88333333333344</v>
      </c>
      <c r="G8" s="205"/>
    </row>
    <row r="9" spans="1:7" ht="13.8" thickBot="1" x14ac:dyDescent="0.3"/>
    <row r="10" spans="1:7" ht="13.8" thickBot="1" x14ac:dyDescent="0.3">
      <c r="B10" s="184" t="s">
        <v>665</v>
      </c>
      <c r="C10" s="239" t="s">
        <v>881</v>
      </c>
      <c r="D10" s="240"/>
      <c r="E10" s="240"/>
      <c r="F10" s="241"/>
    </row>
    <row r="11" spans="1:7" ht="30.75" customHeight="1" x14ac:dyDescent="0.25">
      <c r="C11" s="116" t="s">
        <v>661</v>
      </c>
      <c r="D11" s="116" t="s">
        <v>662</v>
      </c>
      <c r="E11" s="116" t="s">
        <v>663</v>
      </c>
      <c r="F11" s="116" t="s">
        <v>664</v>
      </c>
    </row>
    <row r="13" spans="1:7" x14ac:dyDescent="0.25">
      <c r="A13" t="s">
        <v>666</v>
      </c>
      <c r="B13">
        <v>188000</v>
      </c>
      <c r="C13" s="183">
        <v>8.3166705954148501</v>
      </c>
      <c r="D13" s="183">
        <v>12.859044591149381</v>
      </c>
      <c r="E13" s="183">
        <v>12.47500589312228</v>
      </c>
      <c r="F13" s="183">
        <v>9.329516395326511</v>
      </c>
    </row>
    <row r="14" spans="1:7" x14ac:dyDescent="0.25">
      <c r="A14" t="s">
        <v>667</v>
      </c>
      <c r="B14">
        <v>520000</v>
      </c>
      <c r="C14" s="183">
        <v>23.003556966041081</v>
      </c>
      <c r="D14" s="183">
        <v>35.567570145732333</v>
      </c>
      <c r="E14" s="183">
        <v>34.505335449061626</v>
      </c>
      <c r="F14" s="183">
        <v>25.805045348775455</v>
      </c>
    </row>
    <row r="16" spans="1:7" ht="13.8" thickBot="1" x14ac:dyDescent="0.3"/>
    <row r="17" spans="1:6" ht="13.8" thickBot="1" x14ac:dyDescent="0.3">
      <c r="B17" s="184" t="s">
        <v>665</v>
      </c>
      <c r="C17" s="239" t="s">
        <v>880</v>
      </c>
      <c r="D17" s="240"/>
      <c r="E17" s="240"/>
      <c r="F17" s="241"/>
    </row>
    <row r="18" spans="1:6" ht="26.4" x14ac:dyDescent="0.25">
      <c r="C18" s="116" t="s">
        <v>661</v>
      </c>
      <c r="D18" s="116" t="s">
        <v>662</v>
      </c>
      <c r="E18" s="116" t="s">
        <v>663</v>
      </c>
      <c r="F18" s="116" t="s">
        <v>664</v>
      </c>
    </row>
    <row r="20" spans="1:6" x14ac:dyDescent="0.25">
      <c r="A20" t="s">
        <v>666</v>
      </c>
      <c r="B20">
        <v>188000</v>
      </c>
      <c r="C20" s="140">
        <v>25.469803698457987</v>
      </c>
      <c r="D20" s="140">
        <v>17.89084464855566</v>
      </c>
      <c r="E20" s="140">
        <v>31.707306645019123</v>
      </c>
      <c r="F20" s="140">
        <v>7.3324508614314841</v>
      </c>
    </row>
    <row r="21" spans="1:6" ht="13.8" thickBot="1" x14ac:dyDescent="0.3">
      <c r="A21" t="s">
        <v>667</v>
      </c>
      <c r="B21">
        <v>520000</v>
      </c>
      <c r="C21" s="140">
        <v>70.448393208500818</v>
      </c>
      <c r="D21" s="140">
        <v>49.48531498536672</v>
      </c>
      <c r="E21" s="140">
        <v>87.701060933031613</v>
      </c>
      <c r="F21" s="140">
        <v>20.281247063533893</v>
      </c>
    </row>
    <row r="22" spans="1:6" ht="13.8" thickBot="1" x14ac:dyDescent="0.3">
      <c r="E22" s="206"/>
    </row>
    <row r="23" spans="1:6" ht="13.8" thickBot="1" x14ac:dyDescent="0.3">
      <c r="B23" s="239" t="s">
        <v>670</v>
      </c>
      <c r="C23" s="240"/>
      <c r="D23" s="240"/>
      <c r="E23" s="240"/>
      <c r="F23" s="240"/>
    </row>
    <row r="24" spans="1:6" ht="27.75" customHeight="1" x14ac:dyDescent="0.25">
      <c r="A24" t="s">
        <v>671</v>
      </c>
      <c r="B24" t="s">
        <v>672</v>
      </c>
      <c r="C24" t="s">
        <v>673</v>
      </c>
      <c r="D24" s="116" t="s">
        <v>674</v>
      </c>
      <c r="E24" t="s">
        <v>666</v>
      </c>
      <c r="F24" t="s">
        <v>675</v>
      </c>
    </row>
    <row r="25" spans="1:6" x14ac:dyDescent="0.25">
      <c r="A25" t="s">
        <v>676</v>
      </c>
      <c r="B25">
        <v>45</v>
      </c>
      <c r="C25" s="140">
        <v>0.16304347826086957</v>
      </c>
      <c r="D25" s="140">
        <v>0.375</v>
      </c>
      <c r="E25" s="140">
        <v>3.1187514732805695</v>
      </c>
      <c r="F25" s="140">
        <v>8.6263338622654047</v>
      </c>
    </row>
    <row r="26" spans="1:6" x14ac:dyDescent="0.25">
      <c r="A26" t="s">
        <v>487</v>
      </c>
      <c r="B26">
        <v>15</v>
      </c>
      <c r="C26" s="140">
        <v>5.434782608695652E-2</v>
      </c>
      <c r="D26" s="140">
        <v>0.125</v>
      </c>
      <c r="E26" s="140">
        <v>1.0395838244268565</v>
      </c>
      <c r="F26" s="140">
        <v>2.8754446207551352</v>
      </c>
    </row>
    <row r="27" spans="1:6" x14ac:dyDescent="0.25">
      <c r="A27" t="s">
        <v>677</v>
      </c>
      <c r="B27">
        <v>156</v>
      </c>
      <c r="C27" s="140">
        <v>0.56521739130434778</v>
      </c>
      <c r="D27" s="140"/>
      <c r="E27" s="140">
        <v>12.859044591149381</v>
      </c>
      <c r="F27" s="140">
        <v>35.567570145732333</v>
      </c>
    </row>
    <row r="28" spans="1:6" x14ac:dyDescent="0.25">
      <c r="A28" t="s">
        <v>321</v>
      </c>
      <c r="B28">
        <v>60</v>
      </c>
      <c r="C28" s="140">
        <v>0.21739130434782608</v>
      </c>
      <c r="D28" s="140">
        <v>0.5</v>
      </c>
      <c r="E28" s="140">
        <v>4.1583352977074259</v>
      </c>
      <c r="F28" s="140">
        <v>11.501778483020541</v>
      </c>
    </row>
    <row r="29" spans="1:6" x14ac:dyDescent="0.25">
      <c r="A29" t="s">
        <v>665</v>
      </c>
      <c r="B29">
        <v>276</v>
      </c>
      <c r="C29" s="140">
        <v>1</v>
      </c>
      <c r="D29" s="140"/>
      <c r="E29" s="140">
        <v>21.175715186564233</v>
      </c>
      <c r="F29" s="140">
        <v>58.571127111773421</v>
      </c>
    </row>
    <row r="30" spans="1:6" s="141" customFormat="1" x14ac:dyDescent="0.25">
      <c r="A30" s="141" t="s">
        <v>678</v>
      </c>
      <c r="B30" s="141">
        <v>120</v>
      </c>
      <c r="D30" s="141">
        <v>1</v>
      </c>
      <c r="E30" s="141">
        <v>8.3166705954148519</v>
      </c>
      <c r="F30" s="141">
        <v>23.003556966041081</v>
      </c>
    </row>
    <row r="31" spans="1:6" ht="13.8" thickBot="1" x14ac:dyDescent="0.3"/>
    <row r="32" spans="1:6" ht="13.8" thickBot="1" x14ac:dyDescent="0.3">
      <c r="B32" s="239" t="s">
        <v>679</v>
      </c>
      <c r="C32" s="240"/>
      <c r="D32" s="240"/>
      <c r="E32" s="240"/>
      <c r="F32" s="241"/>
    </row>
    <row r="33" spans="1:6" x14ac:dyDescent="0.25">
      <c r="A33" t="s">
        <v>671</v>
      </c>
      <c r="B33" t="s">
        <v>672</v>
      </c>
      <c r="C33" t="s">
        <v>673</v>
      </c>
      <c r="D33" t="s">
        <v>674</v>
      </c>
      <c r="E33" t="s">
        <v>666</v>
      </c>
      <c r="F33" t="s">
        <v>675</v>
      </c>
    </row>
    <row r="34" spans="1:6" x14ac:dyDescent="0.25">
      <c r="A34" t="s">
        <v>676</v>
      </c>
      <c r="B34">
        <v>10</v>
      </c>
      <c r="C34" s="140">
        <v>3.4904013961605584E-2</v>
      </c>
      <c r="D34" s="140">
        <v>7.407407407407407E-2</v>
      </c>
      <c r="E34" s="140">
        <v>0.92407451060165025</v>
      </c>
      <c r="F34" s="140">
        <v>2.5559507740045646</v>
      </c>
    </row>
    <row r="35" spans="1:6" x14ac:dyDescent="0.25">
      <c r="A35" t="s">
        <v>487</v>
      </c>
      <c r="B35">
        <v>55</v>
      </c>
      <c r="C35" s="140">
        <v>0.19197207678883071</v>
      </c>
      <c r="D35" s="140">
        <v>0.40740740740740738</v>
      </c>
      <c r="E35" s="140">
        <v>5.0824098083090767</v>
      </c>
      <c r="F35" s="140">
        <v>14.057729257025105</v>
      </c>
    </row>
    <row r="36" spans="1:6" x14ac:dyDescent="0.25">
      <c r="A36" t="s">
        <v>677</v>
      </c>
      <c r="B36">
        <v>151.5</v>
      </c>
      <c r="C36" s="140">
        <v>0.52879581151832455</v>
      </c>
      <c r="D36" s="140"/>
      <c r="E36" s="140">
        <v>9.329516395326511</v>
      </c>
      <c r="F36" s="140">
        <v>25.805045348775455</v>
      </c>
    </row>
    <row r="37" spans="1:6" x14ac:dyDescent="0.25">
      <c r="A37" t="s">
        <v>321</v>
      </c>
      <c r="B37">
        <v>70</v>
      </c>
      <c r="C37" s="140">
        <v>0.24432809773123909</v>
      </c>
      <c r="D37" s="140">
        <v>0.51851851851851849</v>
      </c>
      <c r="E37" s="140">
        <v>6.468521574211552</v>
      </c>
      <c r="F37" s="140">
        <v>17.891655418031952</v>
      </c>
    </row>
    <row r="38" spans="1:6" x14ac:dyDescent="0.25">
      <c r="A38" t="s">
        <v>665</v>
      </c>
      <c r="B38">
        <v>286.5</v>
      </c>
      <c r="C38" s="140">
        <v>1</v>
      </c>
      <c r="D38" s="140"/>
      <c r="E38" s="140">
        <v>21.804522288448787</v>
      </c>
      <c r="F38" s="140">
        <v>60.310380797837077</v>
      </c>
    </row>
    <row r="39" spans="1:6" x14ac:dyDescent="0.25">
      <c r="A39" t="s">
        <v>678</v>
      </c>
      <c r="B39">
        <v>135</v>
      </c>
      <c r="D39">
        <v>1</v>
      </c>
      <c r="E39" s="140">
        <v>12.47500589312228</v>
      </c>
      <c r="F39" s="140">
        <v>34.505335449061619</v>
      </c>
    </row>
    <row r="40" spans="1:6" ht="13.8" thickBot="1" x14ac:dyDescent="0.3"/>
    <row r="41" spans="1:6" ht="13.8" thickBot="1" x14ac:dyDescent="0.3">
      <c r="B41" s="239" t="s">
        <v>680</v>
      </c>
      <c r="C41" s="240"/>
      <c r="D41" s="240"/>
      <c r="E41" s="240"/>
      <c r="F41" s="241"/>
    </row>
    <row r="42" spans="1:6" x14ac:dyDescent="0.25">
      <c r="A42" t="s">
        <v>671</v>
      </c>
      <c r="B42" t="s">
        <v>672</v>
      </c>
      <c r="C42" t="s">
        <v>673</v>
      </c>
      <c r="D42" t="s">
        <v>674</v>
      </c>
      <c r="E42" t="s">
        <v>666</v>
      </c>
      <c r="F42" t="s">
        <v>675</v>
      </c>
    </row>
    <row r="43" spans="1:6" x14ac:dyDescent="0.25">
      <c r="A43" t="s">
        <v>676</v>
      </c>
      <c r="B43">
        <v>45</v>
      </c>
      <c r="C43" s="140">
        <v>0.10948905109489052</v>
      </c>
      <c r="D43" s="140">
        <v>0.17647058823529413</v>
      </c>
      <c r="E43" s="140">
        <v>4.494671240904351</v>
      </c>
      <c r="F43" s="140">
        <v>12.432069389735439</v>
      </c>
    </row>
    <row r="44" spans="1:6" x14ac:dyDescent="0.25">
      <c r="A44" t="s">
        <v>681</v>
      </c>
      <c r="B44">
        <v>180</v>
      </c>
      <c r="C44" s="140">
        <v>0.43795620437956206</v>
      </c>
      <c r="D44" s="140">
        <v>0.70588235294117652</v>
      </c>
      <c r="E44" s="140">
        <v>17.978684963617404</v>
      </c>
      <c r="F44" s="140">
        <v>49.728277558941755</v>
      </c>
    </row>
    <row r="45" spans="1:6" x14ac:dyDescent="0.25">
      <c r="A45" t="s">
        <v>677</v>
      </c>
      <c r="B45">
        <v>156</v>
      </c>
      <c r="C45" s="140">
        <v>0.37956204379562042</v>
      </c>
      <c r="D45" s="140"/>
      <c r="E45" s="140">
        <v>17.89084464855566</v>
      </c>
      <c r="F45" s="140">
        <v>49.48531498536672</v>
      </c>
    </row>
    <row r="46" spans="1:6" x14ac:dyDescent="0.25">
      <c r="A46" t="s">
        <v>321</v>
      </c>
      <c r="B46">
        <v>30</v>
      </c>
      <c r="C46" s="140">
        <v>7.2992700729927001E-2</v>
      </c>
      <c r="D46" s="140">
        <v>0.11764705882352941</v>
      </c>
      <c r="E46" s="140">
        <v>2.9964474939362336</v>
      </c>
      <c r="F46" s="140">
        <v>8.2880462598236253</v>
      </c>
    </row>
    <row r="47" spans="1:6" x14ac:dyDescent="0.25">
      <c r="A47" t="s">
        <v>665</v>
      </c>
      <c r="B47">
        <v>411</v>
      </c>
      <c r="C47" s="140">
        <v>1</v>
      </c>
      <c r="D47" s="140"/>
      <c r="E47" s="140">
        <v>43.360648347013651</v>
      </c>
      <c r="F47" s="140">
        <v>119.93370819386755</v>
      </c>
    </row>
    <row r="48" spans="1:6" x14ac:dyDescent="0.25">
      <c r="A48" t="s">
        <v>678</v>
      </c>
      <c r="B48">
        <v>255</v>
      </c>
      <c r="C48" s="140"/>
      <c r="D48" s="140">
        <v>1</v>
      </c>
      <c r="E48" s="140">
        <v>25.469803698457987</v>
      </c>
      <c r="F48" s="140">
        <v>70.448393208500818</v>
      </c>
    </row>
    <row r="49" spans="1:6" ht="13.8" thickBot="1" x14ac:dyDescent="0.3"/>
    <row r="50" spans="1:6" ht="13.8" thickBot="1" x14ac:dyDescent="0.3">
      <c r="B50" s="239" t="s">
        <v>682</v>
      </c>
      <c r="C50" s="240"/>
      <c r="D50" s="240"/>
      <c r="E50" s="240"/>
      <c r="F50" s="241"/>
    </row>
    <row r="51" spans="1:6" x14ac:dyDescent="0.25">
      <c r="A51" t="s">
        <v>671</v>
      </c>
      <c r="B51" t="s">
        <v>672</v>
      </c>
      <c r="C51" t="s">
        <v>673</v>
      </c>
      <c r="D51" t="s">
        <v>674</v>
      </c>
      <c r="E51" t="s">
        <v>666</v>
      </c>
      <c r="F51" t="s">
        <v>675</v>
      </c>
    </row>
    <row r="52" spans="1:6" x14ac:dyDescent="0.25">
      <c r="A52" t="s">
        <v>676</v>
      </c>
      <c r="B52">
        <v>10</v>
      </c>
      <c r="C52" s="140">
        <v>1.6366612111292964E-2</v>
      </c>
      <c r="D52" s="140">
        <v>2.1276595744680851E-2</v>
      </c>
      <c r="E52" s="140">
        <v>0.67462354563870475</v>
      </c>
      <c r="F52" s="140">
        <v>1.8659800198517364</v>
      </c>
    </row>
    <row r="53" spans="1:6" x14ac:dyDescent="0.25">
      <c r="A53" t="s">
        <v>683</v>
      </c>
      <c r="B53">
        <v>250</v>
      </c>
      <c r="C53" s="140">
        <v>0.40916530278232405</v>
      </c>
      <c r="D53" s="140">
        <v>0.53191489361702127</v>
      </c>
      <c r="E53" s="140">
        <v>16.865588640967619</v>
      </c>
      <c r="F53" s="140">
        <v>46.649500496293413</v>
      </c>
    </row>
    <row r="54" spans="1:6" x14ac:dyDescent="0.25">
      <c r="A54" t="s">
        <v>435</v>
      </c>
      <c r="B54">
        <v>200</v>
      </c>
      <c r="C54" s="140">
        <v>0.32733224222585927</v>
      </c>
      <c r="D54" s="140">
        <v>0.42553191489361702</v>
      </c>
      <c r="E54" s="140">
        <v>13.492470912774095</v>
      </c>
      <c r="F54" s="140">
        <v>37.319600397034726</v>
      </c>
    </row>
    <row r="55" spans="1:6" x14ac:dyDescent="0.25">
      <c r="A55" t="s">
        <v>677</v>
      </c>
      <c r="B55">
        <v>141</v>
      </c>
      <c r="C55" s="140">
        <v>0.23076923076923078</v>
      </c>
      <c r="D55" s="140"/>
      <c r="E55" s="140">
        <v>7.3324508614314841</v>
      </c>
      <c r="F55" s="140">
        <v>20.281247063533893</v>
      </c>
    </row>
    <row r="56" spans="1:6" x14ac:dyDescent="0.25">
      <c r="A56" t="s">
        <v>321</v>
      </c>
      <c r="B56">
        <v>10</v>
      </c>
      <c r="C56" s="140">
        <v>1.6366612111292964E-2</v>
      </c>
      <c r="D56" s="140">
        <v>2.1276595744680851E-2</v>
      </c>
      <c r="E56" s="140">
        <v>0.67462354563870475</v>
      </c>
      <c r="F56" s="140">
        <v>1.8659800198517364</v>
      </c>
    </row>
    <row r="57" spans="1:6" x14ac:dyDescent="0.25">
      <c r="A57" t="s">
        <v>665</v>
      </c>
      <c r="B57">
        <v>611</v>
      </c>
      <c r="C57" s="140">
        <v>1</v>
      </c>
      <c r="D57" s="140"/>
      <c r="E57" s="140">
        <v>39.039757506450606</v>
      </c>
      <c r="F57" s="140">
        <v>107.9823079965655</v>
      </c>
    </row>
    <row r="58" spans="1:6" x14ac:dyDescent="0.25">
      <c r="A58" t="s">
        <v>678</v>
      </c>
      <c r="B58">
        <v>470</v>
      </c>
      <c r="C58" s="140"/>
      <c r="D58" s="140">
        <v>1</v>
      </c>
      <c r="E58" s="140">
        <v>31.707306645019123</v>
      </c>
      <c r="F58" s="140">
        <v>87.701060933031613</v>
      </c>
    </row>
    <row r="60" spans="1:6" ht="13.8" thickBot="1" x14ac:dyDescent="0.3"/>
    <row r="61" spans="1:6" ht="13.8" thickBot="1" x14ac:dyDescent="0.3">
      <c r="B61" s="239" t="s">
        <v>684</v>
      </c>
      <c r="C61" s="240"/>
      <c r="D61" s="240"/>
      <c r="E61" s="240"/>
      <c r="F61" s="241"/>
    </row>
    <row r="62" spans="1:6" x14ac:dyDescent="0.25">
      <c r="A62" t="s">
        <v>671</v>
      </c>
      <c r="B62" t="s">
        <v>672</v>
      </c>
      <c r="C62" t="s">
        <v>673</v>
      </c>
      <c r="D62" t="s">
        <v>674</v>
      </c>
      <c r="E62" t="s">
        <v>666</v>
      </c>
      <c r="F62" t="s">
        <v>675</v>
      </c>
    </row>
    <row r="63" spans="1:6" x14ac:dyDescent="0.25">
      <c r="A63" t="s">
        <v>676</v>
      </c>
      <c r="B63">
        <v>150</v>
      </c>
      <c r="C63" s="140">
        <v>0.13157894736842105</v>
      </c>
      <c r="D63" s="140">
        <v>0.15151515151515152</v>
      </c>
      <c r="E63" s="140">
        <v>13.861117659024755</v>
      </c>
      <c r="F63" s="140">
        <v>38.339261610068462</v>
      </c>
    </row>
    <row r="64" spans="1:6" x14ac:dyDescent="0.25">
      <c r="A64" t="s">
        <v>685</v>
      </c>
      <c r="B64">
        <v>60</v>
      </c>
      <c r="C64" s="140">
        <v>5.2631578947368418E-2</v>
      </c>
      <c r="D64" s="140">
        <v>6.0606060606060608E-2</v>
      </c>
      <c r="E64" s="140">
        <v>5.5444470636099012</v>
      </c>
      <c r="F64" s="140">
        <v>15.335704644027386</v>
      </c>
    </row>
    <row r="65" spans="1:6" x14ac:dyDescent="0.25">
      <c r="A65" t="s">
        <v>686</v>
      </c>
      <c r="B65">
        <v>420</v>
      </c>
      <c r="C65" s="140">
        <v>0.36842105263157893</v>
      </c>
      <c r="D65" s="140">
        <v>0.42424242424242425</v>
      </c>
      <c r="E65" s="140">
        <v>38.811129445269309</v>
      </c>
      <c r="F65" s="140">
        <v>107.3499325081917</v>
      </c>
    </row>
    <row r="66" spans="1:6" x14ac:dyDescent="0.25">
      <c r="A66" t="s">
        <v>687</v>
      </c>
      <c r="B66">
        <v>180</v>
      </c>
      <c r="C66" s="140">
        <v>0.15789473684210525</v>
      </c>
      <c r="D66" s="140">
        <v>0.18181818181818182</v>
      </c>
      <c r="E66" s="140">
        <v>16.633341190829704</v>
      </c>
      <c r="F66" s="140">
        <v>46.007113932082156</v>
      </c>
    </row>
    <row r="67" spans="1:6" x14ac:dyDescent="0.25">
      <c r="A67" t="s">
        <v>688</v>
      </c>
      <c r="B67">
        <v>150</v>
      </c>
      <c r="C67" s="140">
        <v>0.13157894736842105</v>
      </c>
      <c r="D67" s="140"/>
      <c r="E67" s="140">
        <v>28.233989211001909</v>
      </c>
      <c r="F67" s="140">
        <v>78.094012711281877</v>
      </c>
    </row>
    <row r="68" spans="1:6" x14ac:dyDescent="0.25">
      <c r="A68" t="s">
        <v>689</v>
      </c>
      <c r="B68">
        <v>180</v>
      </c>
      <c r="C68" s="140">
        <v>0.15789473684210525</v>
      </c>
      <c r="D68" s="140">
        <v>0.18181818181818182</v>
      </c>
      <c r="E68" s="140">
        <v>16.633341190829704</v>
      </c>
      <c r="F68" s="140">
        <v>46.007113932082156</v>
      </c>
    </row>
    <row r="69" spans="1:6" x14ac:dyDescent="0.25">
      <c r="A69" t="s">
        <v>665</v>
      </c>
      <c r="B69">
        <v>1140</v>
      </c>
      <c r="C69" s="140">
        <v>1</v>
      </c>
      <c r="D69" s="140"/>
      <c r="E69" s="140">
        <v>119.71736576056529</v>
      </c>
      <c r="F69" s="140">
        <v>331.13313933773372</v>
      </c>
    </row>
    <row r="70" spans="1:6" x14ac:dyDescent="0.25">
      <c r="A70" t="s">
        <v>678</v>
      </c>
      <c r="B70">
        <v>990</v>
      </c>
      <c r="C70" s="140"/>
      <c r="D70" s="140">
        <v>1</v>
      </c>
      <c r="E70" s="140">
        <v>91.483376549563374</v>
      </c>
      <c r="F70" s="140">
        <v>253.03912662645186</v>
      </c>
    </row>
    <row r="72" spans="1:6" ht="13.8" thickBot="1" x14ac:dyDescent="0.3"/>
    <row r="73" spans="1:6" ht="13.8" thickBot="1" x14ac:dyDescent="0.3">
      <c r="B73" s="239" t="s">
        <v>690</v>
      </c>
      <c r="C73" s="240"/>
      <c r="D73" s="240"/>
      <c r="E73" s="240"/>
      <c r="F73" s="241"/>
    </row>
    <row r="74" spans="1:6" x14ac:dyDescent="0.25">
      <c r="A74" t="s">
        <v>671</v>
      </c>
      <c r="B74" t="s">
        <v>672</v>
      </c>
      <c r="C74" t="s">
        <v>673</v>
      </c>
      <c r="D74" t="s">
        <v>674</v>
      </c>
      <c r="E74" t="s">
        <v>666</v>
      </c>
      <c r="F74" t="s">
        <v>675</v>
      </c>
    </row>
    <row r="75" spans="1:6" x14ac:dyDescent="0.25">
      <c r="A75" t="s">
        <v>676</v>
      </c>
      <c r="B75">
        <v>15</v>
      </c>
      <c r="C75" s="140">
        <v>2.0547945205479451E-2</v>
      </c>
      <c r="D75" s="140">
        <v>2.6086956521739129E-2</v>
      </c>
      <c r="E75" s="140">
        <v>1.3152995343835445</v>
      </c>
      <c r="F75" s="140">
        <v>3.6380625419119315</v>
      </c>
    </row>
    <row r="76" spans="1:6" x14ac:dyDescent="0.25">
      <c r="A76" t="s">
        <v>683</v>
      </c>
      <c r="B76">
        <v>240</v>
      </c>
      <c r="C76" s="140">
        <v>0.32876712328767121</v>
      </c>
      <c r="D76" s="140">
        <v>0.41739130434782606</v>
      </c>
      <c r="E76" s="140">
        <v>21.044792550136712</v>
      </c>
      <c r="F76" s="140">
        <v>58.209000670590903</v>
      </c>
    </row>
    <row r="77" spans="1:6" x14ac:dyDescent="0.25">
      <c r="A77" t="s">
        <v>691</v>
      </c>
      <c r="B77">
        <v>300</v>
      </c>
      <c r="C77" s="140">
        <v>0.41095890410958902</v>
      </c>
      <c r="D77" s="140">
        <v>0.52173913043478259</v>
      </c>
      <c r="E77" s="140">
        <v>26.305990687670892</v>
      </c>
      <c r="F77" s="140">
        <v>72.761250838238638</v>
      </c>
    </row>
    <row r="78" spans="1:6" x14ac:dyDescent="0.25">
      <c r="A78" t="s">
        <v>692</v>
      </c>
      <c r="B78">
        <v>155</v>
      </c>
      <c r="C78" s="140">
        <v>0.21232876712328766</v>
      </c>
      <c r="D78" s="140"/>
      <c r="E78" s="140">
        <v>18.421979099059659</v>
      </c>
      <c r="F78" s="140">
        <v>50.954410273994796</v>
      </c>
    </row>
    <row r="79" spans="1:6" x14ac:dyDescent="0.25">
      <c r="A79" t="s">
        <v>476</v>
      </c>
      <c r="B79">
        <v>20</v>
      </c>
      <c r="C79" s="140">
        <v>2.7397260273972601E-2</v>
      </c>
      <c r="D79" s="140">
        <v>3.4782608695652174E-2</v>
      </c>
      <c r="E79" s="140">
        <v>1.7537327125113928</v>
      </c>
      <c r="F79" s="140">
        <v>4.8507500558825756</v>
      </c>
    </row>
    <row r="80" spans="1:6" x14ac:dyDescent="0.25">
      <c r="A80" t="s">
        <v>665</v>
      </c>
      <c r="B80">
        <v>730</v>
      </c>
      <c r="C80" s="140">
        <v>0.99999999999999989</v>
      </c>
      <c r="D80" s="140"/>
      <c r="E80" s="140">
        <v>68.841794583762194</v>
      </c>
      <c r="F80" s="140">
        <v>190.41347438061882</v>
      </c>
    </row>
    <row r="81" spans="1:6" x14ac:dyDescent="0.25">
      <c r="A81" t="s">
        <v>678</v>
      </c>
      <c r="B81">
        <v>575</v>
      </c>
      <c r="C81" s="140"/>
      <c r="D81" s="140">
        <v>1</v>
      </c>
      <c r="E81" s="140">
        <v>50.419815484702546</v>
      </c>
      <c r="F81" s="140">
        <v>139.45906410662406</v>
      </c>
    </row>
    <row r="86" spans="1:6" x14ac:dyDescent="0.25">
      <c r="B86" t="s">
        <v>693</v>
      </c>
    </row>
    <row r="87" spans="1:6" x14ac:dyDescent="0.25">
      <c r="A87" t="s">
        <v>694</v>
      </c>
      <c r="B87" s="214" t="s">
        <v>695</v>
      </c>
    </row>
    <row r="88" spans="1:6" x14ac:dyDescent="0.25">
      <c r="B88" t="s">
        <v>696</v>
      </c>
    </row>
    <row r="89" spans="1:6" x14ac:dyDescent="0.25">
      <c r="B89" t="s">
        <v>697</v>
      </c>
    </row>
    <row r="91" spans="1:6" x14ac:dyDescent="0.25">
      <c r="A91" t="s">
        <v>698</v>
      </c>
    </row>
    <row r="92" spans="1:6" x14ac:dyDescent="0.25">
      <c r="A92" t="s">
        <v>699</v>
      </c>
    </row>
  </sheetData>
  <mergeCells count="15">
    <mergeCell ref="B32:F32"/>
    <mergeCell ref="B41:F41"/>
    <mergeCell ref="B50:F50"/>
    <mergeCell ref="B61:F61"/>
    <mergeCell ref="B73:F73"/>
    <mergeCell ref="B3:F4"/>
    <mergeCell ref="A1:G1"/>
    <mergeCell ref="C10:F10"/>
    <mergeCell ref="C17:F17"/>
    <mergeCell ref="B23:F23"/>
    <mergeCell ref="B5:B6"/>
    <mergeCell ref="C5:C6"/>
    <mergeCell ref="D5:D6"/>
    <mergeCell ref="E5:E6"/>
    <mergeCell ref="F5:F6"/>
  </mergeCells>
  <hyperlinks>
    <hyperlink ref="B87" r:id="rId1" xr:uid="{0642E444-2C92-42FF-BC92-94003F8B4156}"/>
  </hyperlinks>
  <pageMargins left="0.7" right="0.7" top="0.78740157499999996" bottom="0.78740157499999996"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3:K263"/>
  <sheetViews>
    <sheetView zoomScale="85" zoomScaleNormal="85" workbookViewId="0">
      <selection activeCell="A3" sqref="A3:E3"/>
    </sheetView>
  </sheetViews>
  <sheetFormatPr baseColWidth="10" defaultColWidth="11.44140625" defaultRowHeight="13.2" x14ac:dyDescent="0.25"/>
  <cols>
    <col min="1" max="1" width="37.33203125" customWidth="1"/>
    <col min="3" max="4" width="16.88671875" customWidth="1"/>
    <col min="5" max="5" width="97" customWidth="1"/>
    <col min="6" max="6" width="11.44140625" customWidth="1"/>
  </cols>
  <sheetData>
    <row r="3" spans="1:5" s="1" customFormat="1" ht="36.75" customHeight="1" x14ac:dyDescent="0.25">
      <c r="A3" s="243" t="s">
        <v>700</v>
      </c>
      <c r="B3" s="243"/>
      <c r="C3" s="243"/>
      <c r="D3" s="243"/>
      <c r="E3" s="243"/>
    </row>
    <row r="4" spans="1:5" s="1" customFormat="1" ht="16.5" customHeight="1" x14ac:dyDescent="0.25">
      <c r="A4" s="105"/>
      <c r="B4" s="106" t="s">
        <v>10</v>
      </c>
      <c r="C4" s="106" t="s">
        <v>1</v>
      </c>
      <c r="D4" s="106"/>
      <c r="E4" s="106" t="s">
        <v>12</v>
      </c>
    </row>
    <row r="5" spans="1:5" s="1" customFormat="1" ht="13.8" x14ac:dyDescent="0.25">
      <c r="A5" s="104" t="s">
        <v>26</v>
      </c>
      <c r="B5" s="2"/>
      <c r="C5" s="107"/>
      <c r="D5" s="107"/>
      <c r="E5" s="108"/>
    </row>
    <row r="6" spans="1:5" s="1" customFormat="1" ht="13.8" x14ac:dyDescent="0.25">
      <c r="A6" s="4" t="s">
        <v>701</v>
      </c>
      <c r="B6" s="4" t="s">
        <v>702</v>
      </c>
      <c r="C6" s="110">
        <v>0.19</v>
      </c>
      <c r="D6" s="110"/>
      <c r="E6" s="109"/>
    </row>
    <row r="7" spans="1:5" s="1" customFormat="1" ht="13.8" x14ac:dyDescent="0.25">
      <c r="A7" s="4" t="s">
        <v>703</v>
      </c>
      <c r="B7" s="4" t="s">
        <v>702</v>
      </c>
      <c r="C7" s="110">
        <v>1.4999999999999999E-2</v>
      </c>
      <c r="D7" s="110"/>
      <c r="E7" s="109"/>
    </row>
    <row r="8" spans="1:5" s="1" customFormat="1" ht="13.8" x14ac:dyDescent="0.25">
      <c r="A8" s="3" t="s">
        <v>704</v>
      </c>
      <c r="B8" s="4" t="s">
        <v>702</v>
      </c>
      <c r="C8" s="110">
        <v>5.0000000000000001E-3</v>
      </c>
      <c r="D8" s="110"/>
      <c r="E8" s="109"/>
    </row>
    <row r="9" spans="1:5" s="1" customFormat="1" ht="13.8" x14ac:dyDescent="0.25">
      <c r="A9" s="3" t="s">
        <v>705</v>
      </c>
      <c r="B9" s="4" t="s">
        <v>702</v>
      </c>
      <c r="C9" s="110">
        <v>0.2</v>
      </c>
      <c r="D9" s="110"/>
      <c r="E9" s="109"/>
    </row>
    <row r="10" spans="1:5" s="1" customFormat="1" ht="13.8" x14ac:dyDescent="0.25">
      <c r="A10" s="3" t="s">
        <v>706</v>
      </c>
      <c r="B10" s="4" t="s">
        <v>702</v>
      </c>
      <c r="C10" s="110">
        <v>3.5999999999999997E-2</v>
      </c>
      <c r="D10" s="110"/>
      <c r="E10" s="109"/>
    </row>
    <row r="11" spans="1:5" s="1" customFormat="1" ht="13.8" x14ac:dyDescent="0.25">
      <c r="A11" s="3" t="s">
        <v>707</v>
      </c>
      <c r="B11" s="4" t="s">
        <v>702</v>
      </c>
      <c r="C11" s="110">
        <v>8.5000000000000006E-2</v>
      </c>
      <c r="D11" s="110"/>
      <c r="E11" s="109"/>
    </row>
    <row r="12" spans="1:5" s="1" customFormat="1" ht="13.8" x14ac:dyDescent="0.25">
      <c r="A12" s="3" t="s">
        <v>708</v>
      </c>
      <c r="B12" s="4" t="s">
        <v>702</v>
      </c>
      <c r="C12" s="110">
        <v>0.06</v>
      </c>
      <c r="D12" s="110"/>
      <c r="E12" s="109"/>
    </row>
    <row r="13" spans="1:5" s="1" customFormat="1" ht="13.8" x14ac:dyDescent="0.25">
      <c r="A13" s="3" t="s">
        <v>709</v>
      </c>
      <c r="B13" s="4" t="s">
        <v>702</v>
      </c>
      <c r="C13" s="110">
        <v>5.0000000000000001E-3</v>
      </c>
      <c r="D13" s="110"/>
      <c r="E13" s="109"/>
    </row>
    <row r="14" spans="1:5" s="1" customFormat="1" ht="13.8" x14ac:dyDescent="0.25">
      <c r="A14" s="3" t="s">
        <v>710</v>
      </c>
      <c r="B14" s="4" t="s">
        <v>702</v>
      </c>
      <c r="C14" s="110">
        <v>2.5000000000000001E-2</v>
      </c>
      <c r="D14" s="110"/>
      <c r="E14" s="109"/>
    </row>
    <row r="15" spans="1:5" s="1" customFormat="1" ht="13.8" x14ac:dyDescent="0.25">
      <c r="A15" s="3" t="s">
        <v>711</v>
      </c>
      <c r="B15" s="4" t="s">
        <v>702</v>
      </c>
      <c r="C15" s="110">
        <v>0.09</v>
      </c>
      <c r="D15" s="110"/>
      <c r="E15" s="109"/>
    </row>
    <row r="16" spans="1:5" s="1" customFormat="1" ht="13.8" x14ac:dyDescent="0.25">
      <c r="A16" s="3" t="s">
        <v>712</v>
      </c>
      <c r="B16" s="4" t="s">
        <v>702</v>
      </c>
      <c r="C16" s="110">
        <v>0.02</v>
      </c>
      <c r="D16" s="110"/>
      <c r="E16" s="109"/>
    </row>
    <row r="17" spans="1:5" s="1" customFormat="1" ht="13.8" x14ac:dyDescent="0.25">
      <c r="A17" s="3" t="s">
        <v>713</v>
      </c>
      <c r="B17" s="4" t="s">
        <v>702</v>
      </c>
      <c r="C17" s="110">
        <v>1.4999999999999999E-2</v>
      </c>
      <c r="D17" s="110"/>
      <c r="E17" s="109"/>
    </row>
    <row r="18" spans="1:5" s="1" customFormat="1" ht="13.8" x14ac:dyDescent="0.25">
      <c r="A18" s="3" t="s">
        <v>714</v>
      </c>
      <c r="B18" s="4" t="s">
        <v>702</v>
      </c>
      <c r="C18" s="110">
        <v>0.11</v>
      </c>
      <c r="D18" s="110"/>
      <c r="E18" s="109"/>
    </row>
    <row r="19" spans="1:5" s="1" customFormat="1" ht="13.8" x14ac:dyDescent="0.25">
      <c r="A19" s="3" t="s">
        <v>715</v>
      </c>
      <c r="B19" s="4" t="s">
        <v>702</v>
      </c>
      <c r="C19" s="110">
        <v>2.5000000000000001E-2</v>
      </c>
      <c r="D19" s="110"/>
      <c r="E19" s="109"/>
    </row>
    <row r="20" spans="1:5" s="1" customFormat="1" ht="13.8" x14ac:dyDescent="0.25">
      <c r="A20" s="3" t="s">
        <v>716</v>
      </c>
      <c r="B20" s="4" t="s">
        <v>702</v>
      </c>
      <c r="C20" s="110">
        <v>7.0000000000000007E-2</v>
      </c>
      <c r="D20" s="110"/>
      <c r="E20" s="109" t="s">
        <v>717</v>
      </c>
    </row>
    <row r="21" spans="1:5" s="1" customFormat="1" ht="13.8" x14ac:dyDescent="0.25">
      <c r="A21" s="3" t="s">
        <v>718</v>
      </c>
      <c r="B21" s="4" t="s">
        <v>702</v>
      </c>
      <c r="C21" s="110">
        <v>0.01</v>
      </c>
      <c r="D21" s="110"/>
      <c r="E21" s="109"/>
    </row>
    <row r="22" spans="1:5" s="1" customFormat="1" ht="27.6" x14ac:dyDescent="0.25">
      <c r="A22" s="3" t="s">
        <v>719</v>
      </c>
      <c r="B22" s="4" t="s">
        <v>702</v>
      </c>
      <c r="C22" s="110">
        <v>4.0000000000000001E-3</v>
      </c>
      <c r="D22" s="110"/>
      <c r="E22" s="109" t="s">
        <v>720</v>
      </c>
    </row>
    <row r="23" spans="1:5" s="1" customFormat="1" ht="13.8" x14ac:dyDescent="0.25">
      <c r="A23" s="3" t="s">
        <v>721</v>
      </c>
      <c r="B23" s="4" t="s">
        <v>702</v>
      </c>
      <c r="C23" s="110">
        <v>0.02</v>
      </c>
      <c r="D23" s="110"/>
      <c r="E23" s="109" t="s">
        <v>722</v>
      </c>
    </row>
    <row r="24" spans="1:5" s="1" customFormat="1" ht="13.8" x14ac:dyDescent="0.25">
      <c r="A24" s="3" t="s">
        <v>723</v>
      </c>
      <c r="B24" s="4" t="s">
        <v>702</v>
      </c>
      <c r="C24" s="110">
        <v>1.4999999999999999E-2</v>
      </c>
      <c r="D24" s="110"/>
      <c r="E24" s="109"/>
    </row>
    <row r="25" spans="1:5" s="1" customFormat="1" ht="13.8" x14ac:dyDescent="0.25">
      <c r="A25" s="3" t="s">
        <v>724</v>
      </c>
      <c r="B25" s="3" t="s">
        <v>725</v>
      </c>
      <c r="C25" s="110">
        <v>0.13500000000000001</v>
      </c>
      <c r="D25" s="110"/>
      <c r="E25" s="109"/>
    </row>
    <row r="26" spans="1:5" s="1" customFormat="1" ht="13.8" x14ac:dyDescent="0.25">
      <c r="A26" s="47" t="s">
        <v>35</v>
      </c>
      <c r="B26" s="3"/>
      <c r="C26" s="110"/>
      <c r="D26" s="110"/>
      <c r="E26" s="109" t="s">
        <v>726</v>
      </c>
    </row>
    <row r="27" spans="1:5" s="1" customFormat="1" ht="13.8" x14ac:dyDescent="0.25">
      <c r="A27" s="3" t="s">
        <v>378</v>
      </c>
      <c r="B27" s="3" t="s">
        <v>727</v>
      </c>
      <c r="C27" s="110"/>
      <c r="D27" s="110"/>
      <c r="E27" s="109"/>
    </row>
    <row r="28" spans="1:5" s="1" customFormat="1" ht="13.8" x14ac:dyDescent="0.25">
      <c r="A28" s="3"/>
      <c r="B28" s="3"/>
      <c r="C28" s="110"/>
      <c r="D28" s="110"/>
      <c r="E28" s="109"/>
    </row>
    <row r="29" spans="1:5" s="1" customFormat="1" ht="13.8" x14ac:dyDescent="0.25">
      <c r="A29" s="3"/>
      <c r="B29" s="3"/>
      <c r="C29" s="110"/>
      <c r="D29" s="110"/>
      <c r="E29" s="109"/>
    </row>
    <row r="32" spans="1:5" s="1" customFormat="1" ht="13.8" x14ac:dyDescent="0.25">
      <c r="A32" s="5"/>
      <c r="B32" s="5"/>
    </row>
    <row r="33" spans="1:5" s="1" customFormat="1" ht="16.5" customHeight="1" x14ac:dyDescent="0.25">
      <c r="A33" s="243" t="s">
        <v>728</v>
      </c>
      <c r="B33" s="243"/>
      <c r="C33" s="243"/>
      <c r="D33" s="243"/>
      <c r="E33" s="243"/>
    </row>
    <row r="34" spans="1:5" s="1" customFormat="1" ht="16.5" customHeight="1" x14ac:dyDescent="0.25">
      <c r="A34" s="105"/>
      <c r="B34" s="106" t="s">
        <v>10</v>
      </c>
      <c r="C34" s="106" t="s">
        <v>729</v>
      </c>
      <c r="D34" s="106" t="s">
        <v>730</v>
      </c>
      <c r="E34" s="106" t="s">
        <v>12</v>
      </c>
    </row>
    <row r="35" spans="1:5" s="1" customFormat="1" ht="27.6" x14ac:dyDescent="0.25">
      <c r="A35" s="104" t="s">
        <v>26</v>
      </c>
      <c r="B35" s="2"/>
      <c r="C35" s="107"/>
      <c r="D35" s="107"/>
      <c r="E35" s="108" t="s">
        <v>731</v>
      </c>
    </row>
    <row r="36" spans="1:5" s="1" customFormat="1" ht="13.8" x14ac:dyDescent="0.25">
      <c r="A36" s="4" t="s">
        <v>732</v>
      </c>
      <c r="B36" s="2" t="s">
        <v>733</v>
      </c>
      <c r="C36" s="110">
        <v>0.4</v>
      </c>
      <c r="D36" s="110">
        <v>0.56999999999999995</v>
      </c>
      <c r="E36" s="109" t="s">
        <v>734</v>
      </c>
    </row>
    <row r="37" spans="1:5" s="1" customFormat="1" ht="13.8" x14ac:dyDescent="0.25">
      <c r="A37" s="4" t="s">
        <v>701</v>
      </c>
      <c r="B37" s="4" t="s">
        <v>702</v>
      </c>
      <c r="C37" s="110">
        <v>0.21</v>
      </c>
      <c r="D37" s="110" t="s">
        <v>5</v>
      </c>
      <c r="E37" s="109"/>
    </row>
    <row r="38" spans="1:5" s="1" customFormat="1" ht="13.8" x14ac:dyDescent="0.25">
      <c r="A38" s="3" t="s">
        <v>707</v>
      </c>
      <c r="B38" s="4" t="s">
        <v>702</v>
      </c>
      <c r="C38" s="110">
        <v>0.04</v>
      </c>
      <c r="D38" s="110">
        <v>7.0000000000000007E-2</v>
      </c>
      <c r="E38" s="109"/>
    </row>
    <row r="39" spans="1:5" s="1" customFormat="1" ht="13.8" x14ac:dyDescent="0.25">
      <c r="A39" s="3" t="s">
        <v>735</v>
      </c>
      <c r="B39" s="4" t="s">
        <v>702</v>
      </c>
      <c r="C39" s="110">
        <v>0.03</v>
      </c>
      <c r="D39" s="110">
        <v>0.02</v>
      </c>
      <c r="E39" s="109"/>
    </row>
    <row r="40" spans="1:5" s="1" customFormat="1" ht="13.8" x14ac:dyDescent="0.25">
      <c r="A40" s="3" t="s">
        <v>705</v>
      </c>
      <c r="B40" s="4" t="s">
        <v>702</v>
      </c>
      <c r="C40" s="110">
        <v>7.0000000000000007E-2</v>
      </c>
      <c r="D40" s="110" t="s">
        <v>5</v>
      </c>
      <c r="E40" s="109"/>
    </row>
    <row r="41" spans="1:5" s="1" customFormat="1" ht="13.8" x14ac:dyDescent="0.25">
      <c r="A41" s="3" t="s">
        <v>714</v>
      </c>
      <c r="B41" s="4" t="s">
        <v>702</v>
      </c>
      <c r="C41" s="110">
        <v>0.04</v>
      </c>
      <c r="D41" s="110">
        <v>0.05</v>
      </c>
      <c r="E41" s="109"/>
    </row>
    <row r="42" spans="1:5" s="1" customFormat="1" ht="13.8" x14ac:dyDescent="0.25">
      <c r="A42" s="3" t="s">
        <v>736</v>
      </c>
      <c r="B42" s="4" t="s">
        <v>702</v>
      </c>
      <c r="C42" s="110">
        <v>7.0000000000000007E-2</v>
      </c>
      <c r="D42" s="110">
        <v>0.08</v>
      </c>
      <c r="E42" s="109" t="s">
        <v>737</v>
      </c>
    </row>
    <row r="43" spans="1:5" s="1" customFormat="1" ht="13.8" x14ac:dyDescent="0.25">
      <c r="A43" s="3" t="s">
        <v>739</v>
      </c>
      <c r="B43" s="4" t="s">
        <v>702</v>
      </c>
      <c r="C43" s="110">
        <v>0.02</v>
      </c>
      <c r="D43" s="110" t="s">
        <v>5</v>
      </c>
      <c r="E43" s="109" t="s">
        <v>740</v>
      </c>
    </row>
    <row r="44" spans="1:5" s="1" customFormat="1" ht="13.8" x14ac:dyDescent="0.25">
      <c r="A44" s="3" t="s">
        <v>741</v>
      </c>
      <c r="B44" s="4" t="s">
        <v>702</v>
      </c>
      <c r="C44" s="110">
        <v>0.1</v>
      </c>
      <c r="D44" s="110">
        <v>0.14000000000000001</v>
      </c>
      <c r="E44" s="109"/>
    </row>
    <row r="45" spans="1:5" s="1" customFormat="1" ht="13.8" x14ac:dyDescent="0.25">
      <c r="A45" s="3" t="s">
        <v>703</v>
      </c>
      <c r="B45" s="4" t="s">
        <v>702</v>
      </c>
      <c r="C45" s="110" t="s">
        <v>5</v>
      </c>
      <c r="D45" s="110">
        <v>0.02</v>
      </c>
      <c r="E45" s="109"/>
    </row>
    <row r="46" spans="1:5" s="1" customFormat="1" ht="13.8" x14ac:dyDescent="0.25">
      <c r="A46" s="3" t="s">
        <v>742</v>
      </c>
      <c r="B46" s="4" t="s">
        <v>702</v>
      </c>
      <c r="C46" s="110" t="s">
        <v>5</v>
      </c>
      <c r="D46" s="110">
        <v>0.03</v>
      </c>
      <c r="E46" s="109"/>
    </row>
    <row r="47" spans="1:5" s="1" customFormat="1" ht="13.8" x14ac:dyDescent="0.25">
      <c r="A47" s="3" t="s">
        <v>724</v>
      </c>
      <c r="B47" s="3" t="s">
        <v>725</v>
      </c>
      <c r="C47" s="110">
        <v>0.13500000000000001</v>
      </c>
      <c r="D47" s="110">
        <v>0.13500000000000001</v>
      </c>
      <c r="E47" s="109" t="s">
        <v>743</v>
      </c>
    </row>
    <row r="48" spans="1:5" s="1" customFormat="1" ht="13.8" x14ac:dyDescent="0.25">
      <c r="A48" s="47" t="s">
        <v>35</v>
      </c>
      <c r="B48" s="3"/>
      <c r="C48" s="110"/>
      <c r="D48" s="110"/>
      <c r="E48" s="109" t="s">
        <v>726</v>
      </c>
    </row>
    <row r="49" spans="1:5" s="1" customFormat="1" ht="13.8" x14ac:dyDescent="0.25">
      <c r="A49" s="3" t="s">
        <v>744</v>
      </c>
      <c r="B49" s="3" t="s">
        <v>727</v>
      </c>
      <c r="C49" s="110">
        <v>1</v>
      </c>
      <c r="D49" s="110"/>
      <c r="E49" s="109"/>
    </row>
    <row r="50" spans="1:5" s="1" customFormat="1" ht="13.8" x14ac:dyDescent="0.25">
      <c r="A50" s="3"/>
      <c r="B50" s="3"/>
      <c r="C50" s="110"/>
      <c r="D50" s="110"/>
      <c r="E50" s="109"/>
    </row>
    <row r="51" spans="1:5" s="1" customFormat="1" ht="13.8" x14ac:dyDescent="0.25">
      <c r="A51" s="3"/>
      <c r="B51" s="3"/>
      <c r="C51" s="110"/>
      <c r="D51" s="110"/>
      <c r="E51" s="109"/>
    </row>
    <row r="54" spans="1:5" s="1" customFormat="1" ht="16.5" customHeight="1" x14ac:dyDescent="0.25">
      <c r="A54" s="243" t="s">
        <v>745</v>
      </c>
      <c r="B54" s="243"/>
      <c r="C54" s="243"/>
      <c r="D54" s="243"/>
      <c r="E54" s="243"/>
    </row>
    <row r="55" spans="1:5" s="1" customFormat="1" ht="16.5" customHeight="1" x14ac:dyDescent="0.25">
      <c r="A55" s="105"/>
      <c r="B55" s="106" t="s">
        <v>10</v>
      </c>
      <c r="C55" s="106" t="s">
        <v>729</v>
      </c>
      <c r="D55" s="106" t="s">
        <v>730</v>
      </c>
      <c r="E55" s="106" t="s">
        <v>12</v>
      </c>
    </row>
    <row r="56" spans="1:5" s="1" customFormat="1" ht="13.8" x14ac:dyDescent="0.25">
      <c r="A56" s="104" t="s">
        <v>26</v>
      </c>
      <c r="B56" s="2"/>
      <c r="C56" s="107"/>
      <c r="D56" s="107"/>
      <c r="E56" s="108"/>
    </row>
    <row r="57" spans="1:5" s="1" customFormat="1" ht="13.8" x14ac:dyDescent="0.25">
      <c r="A57" s="4" t="s">
        <v>707</v>
      </c>
      <c r="B57" s="4" t="s">
        <v>702</v>
      </c>
      <c r="C57" s="110">
        <v>0.03</v>
      </c>
      <c r="D57" s="110"/>
      <c r="E57" s="109"/>
    </row>
    <row r="58" spans="1:5" s="1" customFormat="1" ht="13.8" x14ac:dyDescent="0.25">
      <c r="A58" s="4" t="s">
        <v>711</v>
      </c>
      <c r="B58" s="4" t="s">
        <v>702</v>
      </c>
      <c r="C58" s="110">
        <v>0.18</v>
      </c>
      <c r="D58" s="110"/>
      <c r="E58" s="109"/>
    </row>
    <row r="59" spans="1:5" s="1" customFormat="1" ht="13.8" x14ac:dyDescent="0.25">
      <c r="A59" s="3" t="s">
        <v>746</v>
      </c>
      <c r="B59" s="4" t="s">
        <v>702</v>
      </c>
      <c r="C59" s="110">
        <v>0.02</v>
      </c>
      <c r="D59" s="110"/>
      <c r="E59" s="109"/>
    </row>
    <row r="60" spans="1:5" s="1" customFormat="1" ht="13.8" x14ac:dyDescent="0.25">
      <c r="A60" s="3" t="s">
        <v>714</v>
      </c>
      <c r="B60" s="4" t="s">
        <v>702</v>
      </c>
      <c r="C60" s="110">
        <v>0.12</v>
      </c>
      <c r="D60" s="110"/>
      <c r="E60" s="109"/>
    </row>
    <row r="61" spans="1:5" s="1" customFormat="1" ht="13.8" x14ac:dyDescent="0.25">
      <c r="A61" s="3" t="s">
        <v>715</v>
      </c>
      <c r="B61" s="4" t="s">
        <v>702</v>
      </c>
      <c r="C61" s="110">
        <v>0.01</v>
      </c>
      <c r="D61" s="110"/>
      <c r="E61" s="109"/>
    </row>
    <row r="62" spans="1:5" s="1" customFormat="1" ht="13.8" x14ac:dyDescent="0.25">
      <c r="A62" s="3" t="s">
        <v>716</v>
      </c>
      <c r="B62" s="4" t="s">
        <v>702</v>
      </c>
      <c r="C62" s="110">
        <v>0.14000000000000001</v>
      </c>
      <c r="D62" s="110"/>
      <c r="E62" s="109" t="s">
        <v>717</v>
      </c>
    </row>
    <row r="63" spans="1:5" s="1" customFormat="1" ht="13.8" x14ac:dyDescent="0.25">
      <c r="A63" s="3" t="s">
        <v>718</v>
      </c>
      <c r="B63" s="4" t="s">
        <v>702</v>
      </c>
      <c r="C63" s="110">
        <v>0.01</v>
      </c>
      <c r="D63" s="110"/>
      <c r="E63" s="109"/>
    </row>
    <row r="64" spans="1:5" s="1" customFormat="1" ht="13.8" x14ac:dyDescent="0.25">
      <c r="A64" s="3" t="s">
        <v>747</v>
      </c>
      <c r="B64" s="4" t="s">
        <v>702</v>
      </c>
      <c r="C64" s="110">
        <v>0.05</v>
      </c>
      <c r="D64" s="110"/>
      <c r="E64" s="109" t="s">
        <v>720</v>
      </c>
    </row>
    <row r="65" spans="1:5" s="1" customFormat="1" ht="13.8" x14ac:dyDescent="0.25">
      <c r="A65" s="3" t="s">
        <v>748</v>
      </c>
      <c r="B65" s="4" t="s">
        <v>702</v>
      </c>
      <c r="C65" s="110">
        <v>0.03</v>
      </c>
      <c r="D65" s="110"/>
      <c r="E65" s="109"/>
    </row>
    <row r="66" spans="1:5" s="1" customFormat="1" ht="13.8" x14ac:dyDescent="0.25">
      <c r="A66" s="3" t="s">
        <v>706</v>
      </c>
      <c r="B66" s="4" t="s">
        <v>702</v>
      </c>
      <c r="C66" s="110">
        <v>0.42</v>
      </c>
      <c r="D66" s="110"/>
      <c r="E66" s="109"/>
    </row>
    <row r="67" spans="1:5" s="1" customFormat="1" ht="13.8" x14ac:dyDescent="0.25">
      <c r="A67" s="3" t="s">
        <v>749</v>
      </c>
      <c r="B67" s="3" t="s">
        <v>725</v>
      </c>
      <c r="C67" s="110"/>
      <c r="D67" s="110"/>
      <c r="E67" s="109" t="s">
        <v>750</v>
      </c>
    </row>
    <row r="68" spans="1:5" s="1" customFormat="1" ht="13.8" x14ac:dyDescent="0.25">
      <c r="A68" s="47" t="s">
        <v>35</v>
      </c>
      <c r="B68" s="3"/>
      <c r="C68" s="110"/>
      <c r="D68" s="110"/>
      <c r="E68" s="109" t="s">
        <v>726</v>
      </c>
    </row>
    <row r="69" spans="1:5" s="1" customFormat="1" ht="13.8" x14ac:dyDescent="0.25">
      <c r="A69" s="3" t="s">
        <v>297</v>
      </c>
      <c r="B69" s="3" t="s">
        <v>727</v>
      </c>
      <c r="C69" s="110">
        <v>1</v>
      </c>
      <c r="D69" s="110"/>
      <c r="E69" s="109"/>
    </row>
    <row r="70" spans="1:5" s="1" customFormat="1" ht="13.8" x14ac:dyDescent="0.25">
      <c r="A70" s="3"/>
      <c r="B70" s="3"/>
      <c r="C70" s="110"/>
      <c r="D70" s="110"/>
      <c r="E70" s="109"/>
    </row>
    <row r="71" spans="1:5" s="1" customFormat="1" ht="13.8" x14ac:dyDescent="0.25">
      <c r="A71" s="3"/>
      <c r="B71" s="3"/>
      <c r="C71" s="110"/>
      <c r="D71" s="110"/>
      <c r="E71" s="109"/>
    </row>
    <row r="76" spans="1:5" ht="16.8" x14ac:dyDescent="0.25">
      <c r="A76" s="243" t="s">
        <v>754</v>
      </c>
      <c r="B76" s="243"/>
      <c r="C76" s="243"/>
      <c r="D76" s="243"/>
      <c r="E76" s="243"/>
    </row>
    <row r="77" spans="1:5" ht="16.8" x14ac:dyDescent="0.25">
      <c r="A77" s="105"/>
      <c r="B77" s="106" t="s">
        <v>10</v>
      </c>
      <c r="C77" s="106" t="s">
        <v>1</v>
      </c>
      <c r="D77" s="106"/>
      <c r="E77" s="106" t="s">
        <v>12</v>
      </c>
    </row>
    <row r="78" spans="1:5" ht="13.8" x14ac:dyDescent="0.25">
      <c r="A78" s="104" t="s">
        <v>26</v>
      </c>
      <c r="B78" s="2"/>
      <c r="C78" s="107"/>
      <c r="D78" s="107"/>
      <c r="E78" s="108"/>
    </row>
    <row r="79" spans="1:5" ht="41.4" x14ac:dyDescent="0.25">
      <c r="A79" s="4" t="s">
        <v>755</v>
      </c>
      <c r="B79" s="4"/>
      <c r="C79" s="110">
        <f>0.35*0.3</f>
        <v>0.105</v>
      </c>
      <c r="D79" s="110"/>
      <c r="E79" s="108" t="s">
        <v>756</v>
      </c>
    </row>
    <row r="80" spans="1:5" ht="13.8" x14ac:dyDescent="0.25">
      <c r="A80" s="4" t="s">
        <v>757</v>
      </c>
      <c r="B80" s="4"/>
      <c r="C80" s="110">
        <f>0.5*0.025</f>
        <v>1.2500000000000001E-2</v>
      </c>
      <c r="D80" s="110"/>
      <c r="E80" s="108"/>
    </row>
    <row r="81" spans="1:5" ht="41.4" x14ac:dyDescent="0.25">
      <c r="A81" s="4" t="s">
        <v>758</v>
      </c>
      <c r="B81" s="3" t="s">
        <v>727</v>
      </c>
      <c r="C81" s="110">
        <f>0.65*0.3+0.02</f>
        <v>0.215</v>
      </c>
      <c r="D81" s="110"/>
      <c r="E81" s="108" t="s">
        <v>759</v>
      </c>
    </row>
    <row r="82" spans="1:5" ht="27.6" x14ac:dyDescent="0.25">
      <c r="A82" s="4" t="s">
        <v>760</v>
      </c>
      <c r="B82" s="4"/>
      <c r="C82" s="110">
        <f>0.03</f>
        <v>0.03</v>
      </c>
      <c r="D82" s="110"/>
      <c r="E82" s="108" t="s">
        <v>761</v>
      </c>
    </row>
    <row r="83" spans="1:5" ht="13.8" x14ac:dyDescent="0.25">
      <c r="A83" s="4" t="s">
        <v>762</v>
      </c>
      <c r="B83" s="4"/>
      <c r="C83" s="110">
        <f>0.2</f>
        <v>0.2</v>
      </c>
      <c r="D83" s="110"/>
      <c r="E83" s="108"/>
    </row>
    <row r="84" spans="1:5" ht="13.8" x14ac:dyDescent="0.25">
      <c r="A84" s="4" t="s">
        <v>763</v>
      </c>
      <c r="B84" s="4"/>
      <c r="C84" s="110">
        <f>0.5*0.025</f>
        <v>1.2500000000000001E-2</v>
      </c>
      <c r="D84" s="110"/>
      <c r="E84" s="108"/>
    </row>
    <row r="85" spans="1:5" ht="13.8" x14ac:dyDescent="0.25">
      <c r="A85" s="4" t="s">
        <v>764</v>
      </c>
      <c r="B85" s="4"/>
      <c r="C85" s="110">
        <f>0.01</f>
        <v>0.01</v>
      </c>
      <c r="D85" s="110"/>
      <c r="E85" s="109"/>
    </row>
    <row r="86" spans="1:5" ht="13.8" x14ac:dyDescent="0.25">
      <c r="A86" s="4" t="s">
        <v>765</v>
      </c>
      <c r="B86" s="4"/>
      <c r="C86" s="110">
        <v>0.44</v>
      </c>
      <c r="D86" s="110"/>
      <c r="E86" s="109"/>
    </row>
    <row r="87" spans="1:5" ht="13.8" x14ac:dyDescent="0.25">
      <c r="A87" s="4" t="s">
        <v>766</v>
      </c>
      <c r="B87" s="4"/>
      <c r="C87" s="110">
        <v>5.0000000000000001E-3</v>
      </c>
      <c r="D87" s="110"/>
      <c r="E87" s="109" t="s">
        <v>767</v>
      </c>
    </row>
    <row r="88" spans="1:5" ht="13.8" x14ac:dyDescent="0.25">
      <c r="A88" s="4" t="s">
        <v>751</v>
      </c>
      <c r="B88" s="4"/>
      <c r="C88" s="110"/>
      <c r="D88" s="110"/>
      <c r="E88" s="109"/>
    </row>
    <row r="89" spans="1:5" ht="13.8" x14ac:dyDescent="0.25">
      <c r="A89" s="47" t="s">
        <v>35</v>
      </c>
      <c r="B89" s="3"/>
      <c r="C89" s="110"/>
      <c r="D89" s="110"/>
      <c r="E89" s="109" t="s">
        <v>752</v>
      </c>
    </row>
    <row r="90" spans="1:5" ht="13.8" x14ac:dyDescent="0.25">
      <c r="A90" s="3"/>
      <c r="B90" s="3" t="s">
        <v>727</v>
      </c>
      <c r="C90" s="110">
        <v>1.03</v>
      </c>
      <c r="D90" s="110"/>
      <c r="E90" s="109"/>
    </row>
    <row r="91" spans="1:5" ht="13.8" x14ac:dyDescent="0.25">
      <c r="A91" s="3"/>
      <c r="B91" s="3"/>
      <c r="C91" s="110"/>
      <c r="D91" s="110"/>
      <c r="E91" s="109"/>
    </row>
    <row r="92" spans="1:5" ht="13.8" x14ac:dyDescent="0.25">
      <c r="A92" s="3"/>
      <c r="B92" s="3"/>
      <c r="C92" s="110"/>
      <c r="D92" s="110"/>
      <c r="E92" s="109"/>
    </row>
    <row r="95" spans="1:5" ht="16.8" x14ac:dyDescent="0.25">
      <c r="A95" s="243" t="s">
        <v>768</v>
      </c>
      <c r="B95" s="243"/>
      <c r="C95" s="243"/>
      <c r="D95" s="243"/>
      <c r="E95" s="243"/>
    </row>
    <row r="96" spans="1:5" ht="16.8" x14ac:dyDescent="0.25">
      <c r="A96" s="105"/>
      <c r="B96" s="106" t="s">
        <v>10</v>
      </c>
      <c r="C96" s="106" t="s">
        <v>1</v>
      </c>
      <c r="D96" s="106"/>
      <c r="E96" s="106" t="s">
        <v>12</v>
      </c>
    </row>
    <row r="97" spans="1:11" ht="13.8" x14ac:dyDescent="0.25">
      <c r="A97" s="104" t="s">
        <v>26</v>
      </c>
      <c r="B97" s="2"/>
      <c r="C97" s="107"/>
      <c r="D97" s="107"/>
      <c r="E97" s="108"/>
    </row>
    <row r="98" spans="1:11" ht="13.8" x14ac:dyDescent="0.25">
      <c r="A98" s="4" t="s">
        <v>769</v>
      </c>
      <c r="B98" s="4" t="s">
        <v>295</v>
      </c>
      <c r="C98" s="110">
        <f>((155/1)*1.46)/60</f>
        <v>3.7716666666666665</v>
      </c>
      <c r="D98" s="110"/>
      <c r="E98" s="108" t="s">
        <v>770</v>
      </c>
    </row>
    <row r="99" spans="1:11" ht="13.8" x14ac:dyDescent="0.25">
      <c r="A99" s="4" t="s">
        <v>771</v>
      </c>
      <c r="B99" s="4" t="s">
        <v>295</v>
      </c>
      <c r="C99" s="110">
        <f>((7/1)*1.46)/60</f>
        <v>0.17033333333333331</v>
      </c>
      <c r="D99" s="110"/>
      <c r="E99" s="108"/>
    </row>
    <row r="100" spans="1:11" ht="13.8" x14ac:dyDescent="0.25">
      <c r="A100" s="4" t="s">
        <v>772</v>
      </c>
      <c r="B100" s="3" t="s">
        <v>295</v>
      </c>
      <c r="C100" s="110">
        <f>((27.5/1)*1.46)/60</f>
        <v>0.66916666666666669</v>
      </c>
      <c r="D100" s="110"/>
      <c r="E100" s="108"/>
    </row>
    <row r="101" spans="1:11" ht="13.8" x14ac:dyDescent="0.25">
      <c r="A101" s="4" t="s">
        <v>773</v>
      </c>
      <c r="B101" s="4" t="s">
        <v>295</v>
      </c>
      <c r="C101" s="110">
        <f>((137/1)*1.46)/60</f>
        <v>3.3336666666666663</v>
      </c>
      <c r="D101" s="110"/>
      <c r="E101" s="108"/>
    </row>
    <row r="102" spans="1:11" ht="13.8" x14ac:dyDescent="0.25">
      <c r="A102" s="4" t="s">
        <v>774</v>
      </c>
      <c r="B102" s="4" t="s">
        <v>295</v>
      </c>
      <c r="C102" s="110">
        <f>((112.5/1)*1.46)/60</f>
        <v>2.7374999999999998</v>
      </c>
      <c r="D102" s="110"/>
      <c r="E102" s="108"/>
    </row>
    <row r="103" spans="1:11" ht="13.8" x14ac:dyDescent="0.25">
      <c r="A103" s="4" t="s">
        <v>775</v>
      </c>
      <c r="B103" s="4" t="s">
        <v>295</v>
      </c>
      <c r="C103" s="110">
        <f>((17.5/1)*1.46)/60</f>
        <v>0.42583333333333334</v>
      </c>
      <c r="D103" s="110"/>
      <c r="E103" s="108" t="s">
        <v>776</v>
      </c>
    </row>
    <row r="104" spans="1:11" ht="27.6" x14ac:dyDescent="0.25">
      <c r="A104" s="4" t="s">
        <v>777</v>
      </c>
      <c r="B104" s="4" t="s">
        <v>295</v>
      </c>
      <c r="C104" s="110">
        <v>2.4710000000000027</v>
      </c>
      <c r="D104" s="110">
        <f>11.3+3.8-SUM(C98:C103)-C105</f>
        <v>2.4710000000000027</v>
      </c>
      <c r="E104" s="108" t="s">
        <v>778</v>
      </c>
    </row>
    <row r="105" spans="1:11" ht="13.8" x14ac:dyDescent="0.25">
      <c r="A105" s="4" t="s">
        <v>779</v>
      </c>
      <c r="B105" s="4" t="s">
        <v>295</v>
      </c>
      <c r="C105" s="110">
        <f>((62.5/1)*1.46)/60</f>
        <v>1.5208333333333333</v>
      </c>
      <c r="D105" s="110"/>
      <c r="E105" s="108"/>
      <c r="K105" s="115"/>
    </row>
    <row r="106" spans="1:11" ht="13.8" x14ac:dyDescent="0.25">
      <c r="A106" s="4" t="s">
        <v>780</v>
      </c>
      <c r="B106" s="4" t="s">
        <v>781</v>
      </c>
      <c r="C106" s="110">
        <f>0.89*1.46/60</f>
        <v>2.1656666666666664E-2</v>
      </c>
      <c r="D106" s="110"/>
      <c r="E106" s="108" t="s">
        <v>782</v>
      </c>
    </row>
    <row r="107" spans="1:11" ht="27.6" x14ac:dyDescent="0.25">
      <c r="A107" s="4" t="s">
        <v>783</v>
      </c>
      <c r="B107" s="4" t="s">
        <v>781</v>
      </c>
      <c r="C107" s="110">
        <f>1.71*1.46/60</f>
        <v>4.1610000000000001E-2</v>
      </c>
      <c r="D107" s="110"/>
      <c r="E107" s="108" t="s">
        <v>784</v>
      </c>
    </row>
    <row r="108" spans="1:11" ht="13.8" x14ac:dyDescent="0.25">
      <c r="A108" s="4"/>
      <c r="B108" s="4"/>
      <c r="C108" s="110"/>
      <c r="D108" s="110"/>
      <c r="E108" s="108"/>
    </row>
    <row r="109" spans="1:11" ht="13.8" x14ac:dyDescent="0.25">
      <c r="A109" s="47" t="s">
        <v>35</v>
      </c>
      <c r="B109" s="3"/>
      <c r="C109" s="110"/>
      <c r="D109" s="110"/>
      <c r="E109" s="109"/>
    </row>
    <row r="110" spans="1:11" ht="13.8" x14ac:dyDescent="0.25">
      <c r="A110" s="3" t="s">
        <v>785</v>
      </c>
      <c r="B110" s="3" t="s">
        <v>295</v>
      </c>
      <c r="C110" s="110">
        <f>SUM(C98:C105)-C111</f>
        <v>3.8000000000000025</v>
      </c>
      <c r="D110" s="110"/>
      <c r="E110" s="109"/>
    </row>
    <row r="111" spans="1:11" ht="13.8" x14ac:dyDescent="0.25">
      <c r="A111" s="3" t="s">
        <v>382</v>
      </c>
      <c r="B111" s="3" t="s">
        <v>295</v>
      </c>
      <c r="C111" s="110">
        <v>11.3</v>
      </c>
      <c r="D111" s="110"/>
      <c r="E111" s="109" t="s">
        <v>786</v>
      </c>
    </row>
    <row r="112" spans="1:11" ht="13.8" x14ac:dyDescent="0.25">
      <c r="A112" s="3" t="s">
        <v>787</v>
      </c>
      <c r="B112" s="3" t="s">
        <v>295</v>
      </c>
      <c r="C112" s="110">
        <f>105.35*1.46/60</f>
        <v>2.5635166666666662</v>
      </c>
      <c r="D112" s="110"/>
      <c r="E112" s="109"/>
    </row>
    <row r="113" spans="1:5" ht="13.8" x14ac:dyDescent="0.25">
      <c r="A113" s="3" t="s">
        <v>788</v>
      </c>
      <c r="B113" s="3" t="s">
        <v>295</v>
      </c>
      <c r="C113" s="110">
        <f>270.91*1.46/60</f>
        <v>6.5921433333333344</v>
      </c>
      <c r="D113" s="110"/>
      <c r="E113" s="109"/>
    </row>
    <row r="116" spans="1:5" ht="16.8" x14ac:dyDescent="0.25">
      <c r="A116" s="243" t="s">
        <v>789</v>
      </c>
      <c r="B116" s="243"/>
      <c r="C116" s="243"/>
      <c r="D116" s="243"/>
      <c r="E116" s="243"/>
    </row>
    <row r="117" spans="1:5" ht="16.8" x14ac:dyDescent="0.25">
      <c r="A117" s="105"/>
      <c r="B117" s="106" t="s">
        <v>10</v>
      </c>
      <c r="C117" s="106" t="s">
        <v>1</v>
      </c>
      <c r="D117" s="106"/>
      <c r="E117" s="106" t="s">
        <v>12</v>
      </c>
    </row>
    <row r="118" spans="1:5" ht="13.8" x14ac:dyDescent="0.25">
      <c r="A118" s="104" t="s">
        <v>26</v>
      </c>
      <c r="B118" s="2"/>
      <c r="C118" s="107"/>
      <c r="D118" s="107"/>
      <c r="E118" s="108"/>
    </row>
    <row r="119" spans="1:5" ht="13.8" x14ac:dyDescent="0.25">
      <c r="A119" s="4" t="s">
        <v>790</v>
      </c>
      <c r="B119" s="4" t="s">
        <v>295</v>
      </c>
      <c r="C119" s="110">
        <f>((245/1)*1.46)/60</f>
        <v>5.9616666666666669</v>
      </c>
      <c r="D119" s="110"/>
      <c r="E119" s="108" t="s">
        <v>791</v>
      </c>
    </row>
    <row r="120" spans="1:5" ht="13.8" x14ac:dyDescent="0.25">
      <c r="A120" s="4" t="s">
        <v>774</v>
      </c>
      <c r="B120" s="4" t="s">
        <v>295</v>
      </c>
      <c r="C120" s="110">
        <f>(((130+20+61.5)/1)*1.46)/60</f>
        <v>5.1465000000000005</v>
      </c>
      <c r="D120" s="110"/>
      <c r="E120" s="108"/>
    </row>
    <row r="121" spans="1:5" ht="13.8" x14ac:dyDescent="0.25">
      <c r="A121" s="4" t="s">
        <v>773</v>
      </c>
      <c r="B121" s="4" t="s">
        <v>295</v>
      </c>
      <c r="C121" s="110">
        <f>((90/1)*1.46)/60</f>
        <v>2.19</v>
      </c>
      <c r="D121" s="110"/>
      <c r="E121" s="108"/>
    </row>
    <row r="122" spans="1:5" ht="13.8" x14ac:dyDescent="0.25">
      <c r="A122" s="4" t="s">
        <v>775</v>
      </c>
      <c r="B122" s="4" t="s">
        <v>295</v>
      </c>
      <c r="C122" s="110">
        <f>((5.5/1)*1.46)/60</f>
        <v>0.13383333333333333</v>
      </c>
      <c r="D122" s="110"/>
      <c r="E122" s="108"/>
    </row>
    <row r="123" spans="1:5" ht="13.8" x14ac:dyDescent="0.25">
      <c r="A123" s="4" t="s">
        <v>777</v>
      </c>
      <c r="B123" s="4" t="s">
        <v>295</v>
      </c>
      <c r="C123" s="110" t="s">
        <v>792</v>
      </c>
      <c r="D123" s="110"/>
      <c r="E123" s="108" t="s">
        <v>793</v>
      </c>
    </row>
    <row r="124" spans="1:5" ht="13.8" x14ac:dyDescent="0.25">
      <c r="A124" s="4" t="s">
        <v>780</v>
      </c>
      <c r="B124" s="4" t="s">
        <v>781</v>
      </c>
      <c r="C124" s="110">
        <f>0.89*1.46/60</f>
        <v>2.1656666666666664E-2</v>
      </c>
      <c r="D124" s="110"/>
      <c r="E124" s="108"/>
    </row>
    <row r="125" spans="1:5" ht="13.8" x14ac:dyDescent="0.25">
      <c r="A125" s="4" t="s">
        <v>783</v>
      </c>
      <c r="B125" s="4" t="s">
        <v>781</v>
      </c>
      <c r="C125" s="110">
        <f>1.71*1.46/60</f>
        <v>4.1610000000000001E-2</v>
      </c>
      <c r="D125" s="110"/>
      <c r="E125" s="108"/>
    </row>
    <row r="126" spans="1:5" ht="13.8" x14ac:dyDescent="0.25">
      <c r="A126" s="4"/>
      <c r="B126" s="4"/>
      <c r="C126" s="110"/>
      <c r="D126" s="110"/>
      <c r="E126" s="108"/>
    </row>
    <row r="127" spans="1:5" ht="13.8" x14ac:dyDescent="0.25">
      <c r="A127" s="4"/>
      <c r="B127" s="4"/>
      <c r="C127" s="110"/>
      <c r="D127" s="110"/>
      <c r="E127" s="108"/>
    </row>
    <row r="128" spans="1:5" ht="13.8" x14ac:dyDescent="0.25">
      <c r="A128" s="4"/>
      <c r="B128" s="4"/>
      <c r="C128" s="110"/>
      <c r="D128" s="110"/>
      <c r="E128" s="108"/>
    </row>
    <row r="129" spans="1:5" ht="13.8" x14ac:dyDescent="0.25">
      <c r="A129" s="47" t="s">
        <v>35</v>
      </c>
      <c r="B129" s="3"/>
      <c r="C129" s="110"/>
      <c r="D129" s="110"/>
      <c r="E129" s="109"/>
    </row>
    <row r="130" spans="1:5" ht="13.8" x14ac:dyDescent="0.25">
      <c r="A130" s="3" t="s">
        <v>383</v>
      </c>
      <c r="B130" s="3" t="s">
        <v>295</v>
      </c>
      <c r="C130" s="110">
        <f>0.75*SUM(C119:C123)</f>
        <v>10.074</v>
      </c>
      <c r="D130" s="110"/>
      <c r="E130" s="109" t="s">
        <v>786</v>
      </c>
    </row>
    <row r="131" spans="1:5" ht="13.8" x14ac:dyDescent="0.25">
      <c r="A131" s="3" t="s">
        <v>785</v>
      </c>
      <c r="B131" s="3" t="s">
        <v>295</v>
      </c>
      <c r="C131" s="110">
        <f>SUM(C119:C123)*0.25</f>
        <v>3.3580000000000001</v>
      </c>
      <c r="D131" s="110"/>
      <c r="E131" s="109"/>
    </row>
    <row r="132" spans="1:5" ht="13.8" x14ac:dyDescent="0.25">
      <c r="A132" s="3" t="s">
        <v>787</v>
      </c>
      <c r="B132" s="3" t="s">
        <v>295</v>
      </c>
      <c r="C132" s="110">
        <f>105.35*1.46/60</f>
        <v>2.5635166666666662</v>
      </c>
      <c r="D132" s="110"/>
      <c r="E132" s="109"/>
    </row>
    <row r="133" spans="1:5" ht="13.8" x14ac:dyDescent="0.25">
      <c r="A133" s="3" t="s">
        <v>788</v>
      </c>
      <c r="B133" s="3" t="s">
        <v>295</v>
      </c>
      <c r="C133" s="110">
        <f>270.91*1.46/60</f>
        <v>6.5921433333333344</v>
      </c>
      <c r="D133" s="110"/>
      <c r="E133" s="109"/>
    </row>
    <row r="136" spans="1:5" ht="16.8" x14ac:dyDescent="0.25">
      <c r="A136" s="243" t="s">
        <v>794</v>
      </c>
      <c r="B136" s="243"/>
      <c r="C136" s="243"/>
      <c r="D136" s="243"/>
      <c r="E136" s="243"/>
    </row>
    <row r="137" spans="1:5" ht="16.8" x14ac:dyDescent="0.25">
      <c r="A137" s="105"/>
      <c r="B137" s="106" t="s">
        <v>10</v>
      </c>
      <c r="C137" s="106" t="s">
        <v>1</v>
      </c>
      <c r="D137" s="106"/>
      <c r="E137" s="106" t="s">
        <v>12</v>
      </c>
    </row>
    <row r="138" spans="1:5" ht="13.8" x14ac:dyDescent="0.25">
      <c r="A138" s="104" t="s">
        <v>26</v>
      </c>
      <c r="B138" s="2"/>
      <c r="C138" s="107"/>
      <c r="D138" s="107"/>
      <c r="E138" s="108"/>
    </row>
    <row r="139" spans="1:5" ht="13.8" x14ac:dyDescent="0.25">
      <c r="A139" s="4" t="s">
        <v>668</v>
      </c>
      <c r="B139" s="4" t="s">
        <v>295</v>
      </c>
      <c r="C139" s="110">
        <v>340</v>
      </c>
      <c r="D139" s="110"/>
      <c r="E139" s="108"/>
    </row>
    <row r="140" spans="1:5" ht="13.8" x14ac:dyDescent="0.25">
      <c r="A140" s="4" t="s">
        <v>795</v>
      </c>
      <c r="B140" s="4"/>
      <c r="C140" s="110"/>
      <c r="D140" s="110"/>
      <c r="E140" s="108"/>
    </row>
    <row r="141" spans="1:5" ht="13.8" x14ac:dyDescent="0.25">
      <c r="A141" s="4"/>
      <c r="B141" s="4"/>
      <c r="C141" s="110"/>
      <c r="D141" s="110"/>
      <c r="E141" s="109"/>
    </row>
    <row r="142" spans="1:5" ht="13.8" x14ac:dyDescent="0.25">
      <c r="A142" s="47" t="s">
        <v>35</v>
      </c>
      <c r="B142" s="3"/>
      <c r="C142" s="110"/>
      <c r="D142" s="110"/>
      <c r="E142" s="109" t="s">
        <v>752</v>
      </c>
    </row>
    <row r="143" spans="1:5" ht="13.8" x14ac:dyDescent="0.25">
      <c r="A143" s="3" t="s">
        <v>385</v>
      </c>
      <c r="B143" s="3" t="s">
        <v>128</v>
      </c>
      <c r="C143" s="110">
        <v>1</v>
      </c>
      <c r="D143" s="110"/>
      <c r="E143" s="109"/>
    </row>
    <row r="144" spans="1:5" ht="13.8" x14ac:dyDescent="0.25">
      <c r="A144" s="3"/>
      <c r="B144" s="3"/>
      <c r="C144" s="110"/>
      <c r="D144" s="110"/>
      <c r="E144" s="109"/>
    </row>
    <row r="145" spans="1:5" ht="13.8" x14ac:dyDescent="0.25">
      <c r="A145" s="3"/>
      <c r="B145" s="3"/>
      <c r="C145" s="110"/>
      <c r="D145" s="110"/>
      <c r="E145" s="109"/>
    </row>
    <row r="146" spans="1:5" ht="13.8" x14ac:dyDescent="0.25">
      <c r="A146" s="3"/>
      <c r="B146" s="3"/>
      <c r="C146" s="110"/>
      <c r="D146" s="110"/>
      <c r="E146" s="109"/>
    </row>
    <row r="149" spans="1:5" ht="16.8" x14ac:dyDescent="0.25">
      <c r="A149" s="243" t="s">
        <v>796</v>
      </c>
      <c r="B149" s="243"/>
      <c r="C149" s="243"/>
      <c r="D149" s="243"/>
      <c r="E149" s="243"/>
    </row>
    <row r="150" spans="1:5" ht="16.8" x14ac:dyDescent="0.25">
      <c r="A150" s="105"/>
      <c r="B150" s="106" t="s">
        <v>10</v>
      </c>
      <c r="C150" s="106" t="s">
        <v>1</v>
      </c>
      <c r="D150" s="106"/>
      <c r="E150" s="106" t="s">
        <v>12</v>
      </c>
    </row>
    <row r="151" spans="1:5" ht="13.8" x14ac:dyDescent="0.25">
      <c r="A151" s="104" t="s">
        <v>26</v>
      </c>
      <c r="B151" s="2"/>
      <c r="C151" s="107"/>
      <c r="D151" s="107"/>
      <c r="E151" s="108" t="s">
        <v>797</v>
      </c>
    </row>
    <row r="152" spans="1:5" ht="13.8" x14ac:dyDescent="0.25">
      <c r="A152" s="4" t="s">
        <v>798</v>
      </c>
      <c r="B152" s="4" t="s">
        <v>295</v>
      </c>
      <c r="C152" s="110">
        <f>0.7*7.8</f>
        <v>5.46</v>
      </c>
      <c r="D152" s="110"/>
      <c r="E152" s="108"/>
    </row>
    <row r="153" spans="1:5" ht="13.8" x14ac:dyDescent="0.25">
      <c r="A153" s="4" t="s">
        <v>799</v>
      </c>
      <c r="B153" s="4" t="s">
        <v>295</v>
      </c>
      <c r="C153" s="110">
        <f>0.3*7.8</f>
        <v>2.34</v>
      </c>
      <c r="D153" s="110"/>
      <c r="E153" s="108"/>
    </row>
    <row r="154" spans="1:5" ht="13.8" x14ac:dyDescent="0.25">
      <c r="A154" s="4"/>
      <c r="B154" s="4"/>
      <c r="C154" s="110"/>
      <c r="D154" s="110"/>
      <c r="E154" s="108"/>
    </row>
    <row r="155" spans="1:5" ht="13.8" x14ac:dyDescent="0.25">
      <c r="A155" s="4" t="s">
        <v>795</v>
      </c>
      <c r="B155" s="4"/>
      <c r="C155" s="110"/>
      <c r="D155" s="110"/>
      <c r="E155" s="109"/>
    </row>
    <row r="156" spans="1:5" ht="13.8" x14ac:dyDescent="0.25">
      <c r="A156" s="4"/>
      <c r="B156" s="4"/>
      <c r="C156" s="110"/>
      <c r="D156" s="110"/>
      <c r="E156" s="109"/>
    </row>
    <row r="157" spans="1:5" ht="13.8" x14ac:dyDescent="0.25">
      <c r="A157" s="47" t="s">
        <v>35</v>
      </c>
      <c r="B157" s="3"/>
      <c r="C157" s="110"/>
      <c r="D157" s="110"/>
      <c r="E157" s="109" t="s">
        <v>752</v>
      </c>
    </row>
    <row r="158" spans="1:5" ht="13.8" x14ac:dyDescent="0.25">
      <c r="A158" s="3" t="s">
        <v>800</v>
      </c>
      <c r="B158" s="3" t="s">
        <v>128</v>
      </c>
      <c r="C158" s="110">
        <v>1</v>
      </c>
      <c r="D158" s="110"/>
      <c r="E158" s="109"/>
    </row>
    <row r="159" spans="1:5" ht="13.8" x14ac:dyDescent="0.25">
      <c r="A159" s="3"/>
      <c r="B159" s="3"/>
      <c r="C159" s="110"/>
      <c r="D159" s="110"/>
      <c r="E159" s="109"/>
    </row>
    <row r="160" spans="1:5" ht="13.8" x14ac:dyDescent="0.25">
      <c r="A160" s="3"/>
      <c r="B160" s="3"/>
      <c r="C160" s="110"/>
      <c r="D160" s="110"/>
      <c r="E160" s="109"/>
    </row>
    <row r="161" spans="1:5" ht="13.8" x14ac:dyDescent="0.25">
      <c r="A161" s="3"/>
      <c r="B161" s="3"/>
      <c r="C161" s="110"/>
      <c r="D161" s="110"/>
      <c r="E161" s="109"/>
    </row>
    <row r="166" spans="1:5" ht="30.75" customHeight="1" x14ac:dyDescent="0.25">
      <c r="A166" s="243" t="s">
        <v>803</v>
      </c>
      <c r="B166" s="243"/>
      <c r="C166" s="243"/>
      <c r="D166" s="243"/>
      <c r="E166" s="243"/>
    </row>
    <row r="167" spans="1:5" ht="16.8" x14ac:dyDescent="0.25">
      <c r="A167" s="105"/>
      <c r="B167" s="106" t="s">
        <v>10</v>
      </c>
      <c r="C167" s="106" t="s">
        <v>1</v>
      </c>
      <c r="D167" s="106"/>
      <c r="E167" s="106" t="s">
        <v>12</v>
      </c>
    </row>
    <row r="168" spans="1:5" ht="13.8" x14ac:dyDescent="0.25">
      <c r="A168" s="104" t="s">
        <v>177</v>
      </c>
      <c r="B168" s="244"/>
      <c r="C168" s="245"/>
      <c r="D168" s="245"/>
      <c r="E168" s="246"/>
    </row>
    <row r="169" spans="1:5" ht="27.6" x14ac:dyDescent="0.25">
      <c r="A169" s="104" t="s">
        <v>26</v>
      </c>
      <c r="B169" s="2"/>
      <c r="C169" s="107"/>
      <c r="D169" s="107"/>
      <c r="E169" s="108" t="s">
        <v>801</v>
      </c>
    </row>
    <row r="170" spans="1:5" ht="13.8" x14ac:dyDescent="0.25">
      <c r="A170" t="s">
        <v>804</v>
      </c>
      <c r="B170" s="117" t="s">
        <v>125</v>
      </c>
      <c r="C170" s="110">
        <v>0.03</v>
      </c>
      <c r="D170" s="110"/>
      <c r="E170" s="108" t="s">
        <v>805</v>
      </c>
    </row>
    <row r="171" spans="1:5" ht="13.8" x14ac:dyDescent="0.25">
      <c r="A171" s="119" t="s">
        <v>806</v>
      </c>
      <c r="B171" s="117" t="s">
        <v>125</v>
      </c>
      <c r="C171" s="118">
        <v>5.45E-2</v>
      </c>
      <c r="D171" s="110"/>
      <c r="E171" s="108" t="s">
        <v>805</v>
      </c>
    </row>
    <row r="172" spans="1:5" ht="13.8" x14ac:dyDescent="0.25">
      <c r="A172" s="119" t="s">
        <v>807</v>
      </c>
      <c r="B172" s="117" t="s">
        <v>125</v>
      </c>
      <c r="C172" s="110">
        <v>5.0000000000000001E-3</v>
      </c>
      <c r="D172" s="110"/>
      <c r="E172" s="108" t="s">
        <v>808</v>
      </c>
    </row>
    <row r="173" spans="1:5" ht="13.8" x14ac:dyDescent="0.25">
      <c r="A173" s="119" t="s">
        <v>809</v>
      </c>
      <c r="B173" s="117" t="s">
        <v>125</v>
      </c>
      <c r="C173" s="110">
        <v>5.0000000000000001E-3</v>
      </c>
      <c r="D173" s="110"/>
      <c r="E173" s="108" t="s">
        <v>808</v>
      </c>
    </row>
    <row r="174" spans="1:5" ht="13.8" x14ac:dyDescent="0.25">
      <c r="A174" s="119" t="s">
        <v>810</v>
      </c>
      <c r="B174" s="117" t="s">
        <v>125</v>
      </c>
      <c r="C174" s="110">
        <v>5.0000000000000001E-3</v>
      </c>
      <c r="D174" s="110"/>
      <c r="E174" s="108" t="s">
        <v>808</v>
      </c>
    </row>
    <row r="175" spans="1:5" ht="13.8" x14ac:dyDescent="0.25">
      <c r="A175" s="119" t="s">
        <v>811</v>
      </c>
      <c r="B175" s="117" t="s">
        <v>125</v>
      </c>
      <c r="C175" s="110">
        <v>2E-3</v>
      </c>
      <c r="D175" s="110"/>
      <c r="E175" s="108" t="s">
        <v>808</v>
      </c>
    </row>
    <row r="176" spans="1:5" ht="27.6" x14ac:dyDescent="0.25">
      <c r="A176" s="3" t="s">
        <v>812</v>
      </c>
      <c r="B176" s="117" t="s">
        <v>125</v>
      </c>
      <c r="C176" s="110">
        <v>5.0000000000000001E-3</v>
      </c>
      <c r="D176" s="110"/>
      <c r="E176" s="108" t="s">
        <v>813</v>
      </c>
    </row>
    <row r="177" spans="1:5" ht="13.8" x14ac:dyDescent="0.25">
      <c r="A177" s="119" t="s">
        <v>814</v>
      </c>
      <c r="B177" s="117" t="s">
        <v>125</v>
      </c>
      <c r="C177" s="110">
        <v>5.0000000000000001E-3</v>
      </c>
      <c r="D177" s="110"/>
      <c r="E177" s="108" t="s">
        <v>815</v>
      </c>
    </row>
    <row r="178" spans="1:5" ht="27.6" x14ac:dyDescent="0.25">
      <c r="A178" s="3" t="s">
        <v>816</v>
      </c>
      <c r="B178" s="117" t="s">
        <v>125</v>
      </c>
      <c r="C178" s="110">
        <v>2.5000000000000001E-3</v>
      </c>
      <c r="D178" s="110"/>
      <c r="E178" s="108" t="s">
        <v>808</v>
      </c>
    </row>
    <row r="179" spans="1:5" ht="13.8" x14ac:dyDescent="0.25">
      <c r="A179" s="3" t="s">
        <v>817</v>
      </c>
      <c r="B179" s="117" t="s">
        <v>125</v>
      </c>
      <c r="C179" s="110">
        <v>1E-3</v>
      </c>
      <c r="D179" s="110"/>
      <c r="E179" s="108" t="s">
        <v>818</v>
      </c>
    </row>
    <row r="180" spans="1:5" ht="13.8" x14ac:dyDescent="0.25">
      <c r="A180" s="119" t="s">
        <v>819</v>
      </c>
      <c r="B180" s="117" t="s">
        <v>125</v>
      </c>
      <c r="C180" s="110">
        <v>5.0000000000000001E-3</v>
      </c>
      <c r="D180" s="110"/>
      <c r="E180" s="108" t="s">
        <v>820</v>
      </c>
    </row>
    <row r="181" spans="1:5" ht="13.8" x14ac:dyDescent="0.25">
      <c r="A181" s="119" t="s">
        <v>821</v>
      </c>
      <c r="B181" s="117" t="s">
        <v>125</v>
      </c>
      <c r="C181" s="110">
        <v>0.82899999999999996</v>
      </c>
      <c r="D181" s="110"/>
      <c r="E181" s="108"/>
    </row>
    <row r="182" spans="1:5" ht="13.8" x14ac:dyDescent="0.25">
      <c r="A182" s="119" t="s">
        <v>822</v>
      </c>
      <c r="B182" s="117" t="s">
        <v>125</v>
      </c>
      <c r="C182" s="110">
        <v>0.05</v>
      </c>
      <c r="D182" s="110"/>
      <c r="E182" s="108"/>
    </row>
    <row r="183" spans="1:5" ht="13.8" x14ac:dyDescent="0.25">
      <c r="A183" s="119" t="s">
        <v>823</v>
      </c>
      <c r="B183" s="117" t="s">
        <v>125</v>
      </c>
      <c r="C183" s="110">
        <v>8.0000000000000004E-4</v>
      </c>
      <c r="D183" s="110"/>
      <c r="E183" s="108" t="s">
        <v>738</v>
      </c>
    </row>
    <row r="184" spans="1:5" ht="13.8" x14ac:dyDescent="0.25">
      <c r="A184" s="119" t="s">
        <v>824</v>
      </c>
      <c r="B184" s="117" t="s">
        <v>125</v>
      </c>
      <c r="C184" s="110">
        <v>2.0000000000000001E-4</v>
      </c>
      <c r="D184" s="110"/>
      <c r="E184" s="108" t="s">
        <v>825</v>
      </c>
    </row>
    <row r="185" spans="1:5" ht="13.8" x14ac:dyDescent="0.25">
      <c r="A185" s="3"/>
      <c r="B185" s="3"/>
      <c r="C185" s="110"/>
      <c r="D185" s="110"/>
      <c r="E185" s="108"/>
    </row>
    <row r="186" spans="1:5" ht="13.8" x14ac:dyDescent="0.25">
      <c r="A186" s="4" t="s">
        <v>795</v>
      </c>
      <c r="B186" s="4"/>
      <c r="C186" s="110"/>
      <c r="D186" s="110"/>
      <c r="E186" s="109"/>
    </row>
    <row r="187" spans="1:5" ht="13.8" x14ac:dyDescent="0.25">
      <c r="A187" s="4"/>
      <c r="B187" s="4"/>
      <c r="C187" s="110"/>
      <c r="D187" s="110"/>
      <c r="E187" s="109"/>
    </row>
    <row r="188" spans="1:5" ht="13.8" x14ac:dyDescent="0.25">
      <c r="A188" s="47" t="s">
        <v>35</v>
      </c>
      <c r="B188" s="3"/>
      <c r="C188" s="110"/>
      <c r="D188" s="110"/>
      <c r="E188" s="109" t="s">
        <v>752</v>
      </c>
    </row>
    <row r="189" spans="1:5" ht="13.8" x14ac:dyDescent="0.25">
      <c r="A189" s="3" t="s">
        <v>802</v>
      </c>
      <c r="B189" s="3" t="s">
        <v>125</v>
      </c>
      <c r="C189" s="110">
        <v>1</v>
      </c>
      <c r="D189" s="110"/>
      <c r="E189" s="109"/>
    </row>
    <row r="190" spans="1:5" ht="13.8" x14ac:dyDescent="0.25">
      <c r="A190" s="3"/>
      <c r="B190" s="3"/>
      <c r="C190" s="110"/>
      <c r="D190" s="110"/>
      <c r="E190" s="109"/>
    </row>
    <row r="191" spans="1:5" ht="13.8" x14ac:dyDescent="0.25">
      <c r="A191" s="3"/>
      <c r="B191" s="3"/>
      <c r="C191" s="110"/>
      <c r="D191" s="110"/>
      <c r="E191" s="109"/>
    </row>
    <row r="192" spans="1:5" ht="13.8" x14ac:dyDescent="0.25">
      <c r="A192" s="3"/>
      <c r="B192" s="3"/>
      <c r="C192" s="110"/>
      <c r="D192" s="110"/>
      <c r="E192" s="109"/>
    </row>
    <row r="195" spans="1:9" ht="16.8" x14ac:dyDescent="0.25">
      <c r="A195" s="243" t="s">
        <v>826</v>
      </c>
      <c r="B195" s="243"/>
      <c r="C195" s="243"/>
      <c r="D195" s="243"/>
      <c r="E195" s="243"/>
    </row>
    <row r="196" spans="1:9" ht="16.8" x14ac:dyDescent="0.25">
      <c r="A196" s="105"/>
      <c r="B196" s="106" t="s">
        <v>10</v>
      </c>
      <c r="C196" s="106" t="s">
        <v>1</v>
      </c>
      <c r="D196" s="106"/>
      <c r="E196" s="106" t="s">
        <v>12</v>
      </c>
    </row>
    <row r="197" spans="1:9" s="13" customFormat="1" ht="15.6" x14ac:dyDescent="0.25">
      <c r="A197" s="120" t="s">
        <v>177</v>
      </c>
      <c r="B197" s="244" t="s">
        <v>827</v>
      </c>
      <c r="C197" s="245"/>
      <c r="D197" s="245"/>
      <c r="E197" s="246"/>
    </row>
    <row r="198" spans="1:9" ht="13.8" x14ac:dyDescent="0.25">
      <c r="A198" s="104" t="s">
        <v>26</v>
      </c>
      <c r="B198" s="2"/>
      <c r="C198" s="107"/>
      <c r="D198" s="107"/>
      <c r="E198" s="108"/>
    </row>
    <row r="199" spans="1:9" ht="13.8" x14ac:dyDescent="0.25">
      <c r="A199" s="4" t="s">
        <v>828</v>
      </c>
      <c r="B199" s="4" t="s">
        <v>125</v>
      </c>
      <c r="C199" s="110">
        <f>0.992/134.3</f>
        <v>7.3864482501861499E-3</v>
      </c>
      <c r="D199" s="110"/>
      <c r="E199" s="108"/>
    </row>
    <row r="200" spans="1:9" ht="13.8" x14ac:dyDescent="0.25">
      <c r="A200" s="4" t="s">
        <v>829</v>
      </c>
      <c r="B200" s="4" t="s">
        <v>125</v>
      </c>
      <c r="C200" s="110">
        <f>77.025/134.3</f>
        <v>0.57352941176470584</v>
      </c>
      <c r="D200" s="110"/>
      <c r="E200" s="108"/>
      <c r="I200" t="s">
        <v>830</v>
      </c>
    </row>
    <row r="201" spans="1:9" ht="13.8" x14ac:dyDescent="0.25">
      <c r="A201" s="4" t="s">
        <v>831</v>
      </c>
      <c r="B201" s="4" t="s">
        <v>125</v>
      </c>
      <c r="C201" s="110">
        <f>28.35/134.3</f>
        <v>0.2110945644080417</v>
      </c>
      <c r="D201" s="110"/>
      <c r="E201" s="108" t="s">
        <v>832</v>
      </c>
    </row>
    <row r="202" spans="1:9" ht="13.8" x14ac:dyDescent="0.25">
      <c r="A202" s="4" t="s">
        <v>833</v>
      </c>
      <c r="B202" s="4" t="s">
        <v>125</v>
      </c>
      <c r="C202" s="110">
        <f>34.65/134.3</f>
        <v>0.2580044676098287</v>
      </c>
      <c r="D202" s="110"/>
      <c r="E202" s="108" t="s">
        <v>834</v>
      </c>
    </row>
    <row r="203" spans="1:9" ht="13.8" x14ac:dyDescent="0.25">
      <c r="A203" s="4"/>
      <c r="B203" s="4"/>
      <c r="C203" s="110"/>
      <c r="D203" s="110"/>
      <c r="E203" s="108"/>
    </row>
    <row r="204" spans="1:9" ht="13.8" x14ac:dyDescent="0.25">
      <c r="A204" s="4" t="s">
        <v>795</v>
      </c>
      <c r="B204" s="4"/>
      <c r="C204" s="110"/>
      <c r="D204" s="110"/>
      <c r="E204" s="109"/>
    </row>
    <row r="205" spans="1:9" ht="13.8" x14ac:dyDescent="0.25">
      <c r="A205" s="4"/>
      <c r="B205" s="4"/>
      <c r="C205" s="110"/>
      <c r="D205" s="110"/>
      <c r="E205" s="109"/>
    </row>
    <row r="206" spans="1:9" ht="13.8" x14ac:dyDescent="0.25">
      <c r="A206" s="47" t="s">
        <v>35</v>
      </c>
      <c r="B206" s="3"/>
      <c r="C206" s="110"/>
      <c r="D206" s="110"/>
      <c r="E206" s="109" t="s">
        <v>752</v>
      </c>
    </row>
    <row r="207" spans="1:9" ht="13.8" x14ac:dyDescent="0.25">
      <c r="A207" s="3" t="s">
        <v>212</v>
      </c>
      <c r="B207" s="3" t="s">
        <v>125</v>
      </c>
      <c r="C207" s="110">
        <v>1</v>
      </c>
      <c r="D207" s="110"/>
      <c r="E207" s="109"/>
    </row>
    <row r="208" spans="1:9" ht="13.8" x14ac:dyDescent="0.25">
      <c r="A208" s="3" t="s">
        <v>835</v>
      </c>
      <c r="B208" s="3" t="s">
        <v>125</v>
      </c>
      <c r="C208" s="110">
        <f>7/134.3</f>
        <v>5.212211466865227E-2</v>
      </c>
      <c r="D208" s="110"/>
      <c r="E208" s="109" t="s">
        <v>836</v>
      </c>
    </row>
    <row r="209" spans="1:5" ht="13.8" x14ac:dyDescent="0.25">
      <c r="A209" s="3"/>
      <c r="B209" s="3"/>
      <c r="C209" s="110"/>
      <c r="D209" s="110"/>
      <c r="E209" s="109"/>
    </row>
    <row r="210" spans="1:5" ht="13.8" x14ac:dyDescent="0.25">
      <c r="A210" s="3"/>
      <c r="B210" s="3"/>
      <c r="C210" s="110"/>
      <c r="D210" s="110"/>
      <c r="E210" s="109"/>
    </row>
    <row r="213" spans="1:5" ht="16.8" x14ac:dyDescent="0.25">
      <c r="A213" s="243" t="s">
        <v>837</v>
      </c>
      <c r="B213" s="243"/>
      <c r="C213" s="243"/>
      <c r="D213" s="243"/>
      <c r="E213" s="243"/>
    </row>
    <row r="214" spans="1:5" ht="16.8" x14ac:dyDescent="0.25">
      <c r="A214" s="105"/>
      <c r="B214" s="106" t="s">
        <v>10</v>
      </c>
      <c r="C214" s="106" t="s">
        <v>1</v>
      </c>
      <c r="D214" s="106"/>
      <c r="E214" s="106" t="s">
        <v>12</v>
      </c>
    </row>
    <row r="215" spans="1:5" ht="91.5" customHeight="1" x14ac:dyDescent="0.25">
      <c r="A215" s="120" t="s">
        <v>177</v>
      </c>
      <c r="B215" s="244" t="s">
        <v>838</v>
      </c>
      <c r="C215" s="245"/>
      <c r="D215" s="245"/>
      <c r="E215" s="246"/>
    </row>
    <row r="216" spans="1:5" ht="13.8" x14ac:dyDescent="0.25">
      <c r="A216" s="104" t="s">
        <v>26</v>
      </c>
      <c r="B216" s="2"/>
      <c r="C216" s="107"/>
      <c r="D216" s="107"/>
      <c r="E216" s="108"/>
    </row>
    <row r="217" spans="1:5" ht="27.6" x14ac:dyDescent="0.25">
      <c r="A217" s="4" t="s">
        <v>839</v>
      </c>
      <c r="B217" s="4" t="s">
        <v>144</v>
      </c>
      <c r="C217" s="110">
        <f>$C$223/3</f>
        <v>7.5666666666666664</v>
      </c>
      <c r="D217" s="110"/>
      <c r="E217" s="108" t="s">
        <v>840</v>
      </c>
    </row>
    <row r="218" spans="1:5" ht="13.8" x14ac:dyDescent="0.25">
      <c r="A218" s="4" t="s">
        <v>841</v>
      </c>
      <c r="B218" s="4" t="s">
        <v>144</v>
      </c>
      <c r="C218" s="110">
        <f t="shared" ref="C218" si="0">$C$223/3</f>
        <v>7.5666666666666664</v>
      </c>
      <c r="D218" s="110"/>
      <c r="E218" s="108" t="s">
        <v>842</v>
      </c>
    </row>
    <row r="219" spans="1:5" ht="13.8" x14ac:dyDescent="0.25">
      <c r="A219" s="4" t="s">
        <v>843</v>
      </c>
      <c r="B219" s="4" t="s">
        <v>144</v>
      </c>
      <c r="C219" s="110">
        <f>($C$223/3)/2</f>
        <v>3.7833333333333332</v>
      </c>
      <c r="D219" s="110"/>
      <c r="E219" s="108" t="s">
        <v>844</v>
      </c>
    </row>
    <row r="220" spans="1:5" ht="13.8" x14ac:dyDescent="0.25">
      <c r="A220" s="4" t="s">
        <v>845</v>
      </c>
      <c r="B220" s="4" t="s">
        <v>144</v>
      </c>
      <c r="C220" s="110">
        <f>($C$223/3)/2</f>
        <v>3.7833333333333332</v>
      </c>
      <c r="D220" s="110"/>
      <c r="E220" s="108" t="s">
        <v>846</v>
      </c>
    </row>
    <row r="221" spans="1:5" ht="13.8" x14ac:dyDescent="0.25">
      <c r="A221" s="4" t="s">
        <v>847</v>
      </c>
      <c r="B221" s="4" t="s">
        <v>848</v>
      </c>
      <c r="C221" s="108">
        <v>103.23</v>
      </c>
      <c r="D221" s="108"/>
      <c r="E221" s="108" t="s">
        <v>849</v>
      </c>
    </row>
    <row r="222" spans="1:5" ht="13.8" x14ac:dyDescent="0.25">
      <c r="A222" s="47" t="s">
        <v>35</v>
      </c>
      <c r="B222" s="3"/>
      <c r="C222" s="108"/>
      <c r="D222" s="108"/>
      <c r="E222" s="108" t="s">
        <v>752</v>
      </c>
    </row>
    <row r="223" spans="1:5" ht="13.8" x14ac:dyDescent="0.25">
      <c r="A223" s="3" t="s">
        <v>597</v>
      </c>
      <c r="B223" s="3" t="s">
        <v>144</v>
      </c>
      <c r="C223" s="108">
        <v>22.7</v>
      </c>
      <c r="D223" s="108"/>
      <c r="E223" s="108"/>
    </row>
    <row r="224" spans="1:5" ht="13.8" x14ac:dyDescent="0.25">
      <c r="A224" s="3"/>
      <c r="B224" s="3"/>
      <c r="C224" s="110"/>
      <c r="D224" s="110"/>
      <c r="E224" s="109"/>
    </row>
    <row r="227" spans="1:5" ht="16.8" x14ac:dyDescent="0.25">
      <c r="A227" s="243" t="s">
        <v>850</v>
      </c>
      <c r="B227" s="243"/>
      <c r="C227" s="243"/>
      <c r="D227" s="243"/>
      <c r="E227" s="243"/>
    </row>
    <row r="228" spans="1:5" ht="16.8" x14ac:dyDescent="0.25">
      <c r="A228" s="105"/>
      <c r="B228" s="106" t="s">
        <v>10</v>
      </c>
      <c r="C228" s="106" t="s">
        <v>1</v>
      </c>
      <c r="D228" s="106"/>
      <c r="E228" s="106" t="s">
        <v>12</v>
      </c>
    </row>
    <row r="229" spans="1:5" ht="78" customHeight="1" x14ac:dyDescent="0.25">
      <c r="A229" s="120" t="s">
        <v>177</v>
      </c>
      <c r="B229" s="244" t="s">
        <v>851</v>
      </c>
      <c r="C229" s="245"/>
      <c r="D229" s="245"/>
      <c r="E229" s="246"/>
    </row>
    <row r="230" spans="1:5" ht="13.8" x14ac:dyDescent="0.25">
      <c r="A230" s="104" t="s">
        <v>26</v>
      </c>
      <c r="B230" s="2"/>
      <c r="C230" s="107"/>
      <c r="D230" s="107"/>
      <c r="E230" s="108"/>
    </row>
    <row r="231" spans="1:5" ht="13.8" x14ac:dyDescent="0.25">
      <c r="A231" s="4" t="s">
        <v>852</v>
      </c>
      <c r="B231" s="4" t="s">
        <v>144</v>
      </c>
      <c r="C231" s="110">
        <f>C235*0.95</f>
        <v>19</v>
      </c>
      <c r="D231" s="110"/>
      <c r="E231" s="108" t="s">
        <v>853</v>
      </c>
    </row>
    <row r="232" spans="1:5" ht="13.8" x14ac:dyDescent="0.25">
      <c r="A232" s="4" t="s">
        <v>854</v>
      </c>
      <c r="B232" s="4" t="s">
        <v>144</v>
      </c>
      <c r="C232" s="110">
        <f>0.05*C235</f>
        <v>1</v>
      </c>
      <c r="D232" s="110"/>
      <c r="E232" s="108" t="s">
        <v>855</v>
      </c>
    </row>
    <row r="233" spans="1:5" ht="13.8" x14ac:dyDescent="0.25">
      <c r="A233" s="4" t="s">
        <v>856</v>
      </c>
      <c r="B233" s="4" t="s">
        <v>144</v>
      </c>
      <c r="C233" s="110">
        <f>0.23*C235</f>
        <v>4.6000000000000005</v>
      </c>
      <c r="D233" s="110"/>
      <c r="E233" s="108" t="s">
        <v>857</v>
      </c>
    </row>
    <row r="234" spans="1:5" ht="13.8" x14ac:dyDescent="0.25">
      <c r="A234" s="47" t="s">
        <v>35</v>
      </c>
      <c r="B234" s="3"/>
      <c r="C234" s="110"/>
      <c r="D234" s="110"/>
      <c r="E234" s="109" t="s">
        <v>752</v>
      </c>
    </row>
    <row r="235" spans="1:5" ht="13.8" x14ac:dyDescent="0.25">
      <c r="A235" s="3" t="s">
        <v>858</v>
      </c>
      <c r="B235" s="3" t="s">
        <v>144</v>
      </c>
      <c r="C235" s="110">
        <v>20</v>
      </c>
      <c r="D235" s="110"/>
      <c r="E235" s="109"/>
    </row>
    <row r="236" spans="1:5" ht="13.8" x14ac:dyDescent="0.25">
      <c r="A236" s="3"/>
      <c r="B236" s="3"/>
      <c r="C236" s="110"/>
      <c r="D236" s="110"/>
      <c r="E236" s="109"/>
    </row>
    <row r="239" spans="1:5" ht="16.8" x14ac:dyDescent="0.25">
      <c r="A239" s="243" t="s">
        <v>859</v>
      </c>
      <c r="B239" s="243"/>
      <c r="C239" s="243"/>
      <c r="D239" s="243"/>
      <c r="E239" s="243"/>
    </row>
    <row r="240" spans="1:5" ht="16.8" x14ac:dyDescent="0.25">
      <c r="A240" s="105"/>
      <c r="B240" s="106" t="s">
        <v>10</v>
      </c>
      <c r="C240" s="106" t="s">
        <v>1</v>
      </c>
      <c r="D240" s="106"/>
      <c r="E240" s="106" t="s">
        <v>12</v>
      </c>
    </row>
    <row r="241" spans="1:5" ht="71.099999999999994" customHeight="1" x14ac:dyDescent="0.25">
      <c r="A241" s="120" t="s">
        <v>177</v>
      </c>
      <c r="B241" s="244" t="s">
        <v>860</v>
      </c>
      <c r="C241" s="245"/>
      <c r="D241" s="245"/>
      <c r="E241" s="246"/>
    </row>
    <row r="242" spans="1:5" ht="13.8" x14ac:dyDescent="0.25">
      <c r="A242" s="104" t="s">
        <v>26</v>
      </c>
      <c r="B242" s="2"/>
      <c r="C242" s="107"/>
      <c r="D242" s="107"/>
      <c r="E242" s="108"/>
    </row>
    <row r="243" spans="1:5" ht="13.8" x14ac:dyDescent="0.25">
      <c r="A243" s="4" t="s">
        <v>861</v>
      </c>
      <c r="B243" s="2" t="s">
        <v>144</v>
      </c>
      <c r="C243" s="110">
        <f>0.92*70</f>
        <v>64.400000000000006</v>
      </c>
      <c r="D243" s="110"/>
      <c r="E243" s="108"/>
    </row>
    <row r="244" spans="1:5" ht="27.6" x14ac:dyDescent="0.25">
      <c r="A244" s="4" t="s">
        <v>854</v>
      </c>
      <c r="B244" s="4" t="s">
        <v>144</v>
      </c>
      <c r="C244" s="110">
        <f>0.08*70</f>
        <v>5.6000000000000005</v>
      </c>
      <c r="D244" s="110"/>
      <c r="E244" s="108" t="s">
        <v>862</v>
      </c>
    </row>
    <row r="245" spans="1:5" ht="13.8" x14ac:dyDescent="0.25">
      <c r="A245" s="4" t="s">
        <v>863</v>
      </c>
      <c r="B245" s="4" t="s">
        <v>864</v>
      </c>
      <c r="C245" s="110">
        <v>6.6000000000000003E-2</v>
      </c>
      <c r="D245" s="110"/>
      <c r="E245" s="108" t="s">
        <v>865</v>
      </c>
    </row>
    <row r="246" spans="1:5" ht="27.6" x14ac:dyDescent="0.25">
      <c r="A246" s="4" t="s">
        <v>866</v>
      </c>
      <c r="B246" s="4" t="s">
        <v>144</v>
      </c>
      <c r="C246" s="110">
        <f>0.23*C248</f>
        <v>16.100000000000001</v>
      </c>
      <c r="D246" s="110"/>
      <c r="E246" s="108" t="s">
        <v>994</v>
      </c>
    </row>
    <row r="247" spans="1:5" ht="13.8" x14ac:dyDescent="0.25">
      <c r="A247" s="47" t="s">
        <v>35</v>
      </c>
      <c r="B247" s="3"/>
      <c r="C247" s="110"/>
      <c r="D247" s="110"/>
      <c r="E247" s="109" t="s">
        <v>752</v>
      </c>
    </row>
    <row r="248" spans="1:5" ht="13.8" x14ac:dyDescent="0.25">
      <c r="A248" s="3" t="s">
        <v>867</v>
      </c>
      <c r="B248" s="3" t="s">
        <v>144</v>
      </c>
      <c r="C248" s="110">
        <v>70</v>
      </c>
      <c r="D248" s="110"/>
      <c r="E248" s="109"/>
    </row>
    <row r="249" spans="1:5" ht="13.8" x14ac:dyDescent="0.25">
      <c r="A249" s="3"/>
      <c r="B249" s="3"/>
      <c r="C249" s="110"/>
      <c r="D249" s="110"/>
      <c r="E249" s="109"/>
    </row>
    <row r="252" spans="1:5" ht="16.8" x14ac:dyDescent="0.25">
      <c r="A252" s="243" t="s">
        <v>868</v>
      </c>
      <c r="B252" s="243"/>
      <c r="C252" s="243"/>
      <c r="D252" s="243"/>
      <c r="E252" s="243"/>
    </row>
    <row r="253" spans="1:5" ht="16.8" x14ac:dyDescent="0.25">
      <c r="A253" s="105"/>
      <c r="B253" s="106" t="s">
        <v>10</v>
      </c>
      <c r="C253" s="106" t="s">
        <v>1</v>
      </c>
      <c r="D253" s="106"/>
      <c r="E253" s="106" t="s">
        <v>12</v>
      </c>
    </row>
    <row r="254" spans="1:5" ht="17.100000000000001" customHeight="1" x14ac:dyDescent="0.25">
      <c r="A254" s="120" t="s">
        <v>177</v>
      </c>
      <c r="B254" s="244" t="s">
        <v>869</v>
      </c>
      <c r="C254" s="245"/>
      <c r="D254" s="245"/>
      <c r="E254" s="246"/>
    </row>
    <row r="255" spans="1:5" ht="13.8" x14ac:dyDescent="0.25">
      <c r="A255" s="104" t="s">
        <v>26</v>
      </c>
      <c r="B255" s="2"/>
      <c r="C255" s="107"/>
      <c r="D255" s="107"/>
      <c r="E255" s="108"/>
    </row>
    <row r="256" spans="1:5" ht="13.8" x14ac:dyDescent="0.25">
      <c r="A256" s="181" t="s">
        <v>870</v>
      </c>
      <c r="B256" s="2" t="s">
        <v>125</v>
      </c>
      <c r="C256" s="110">
        <f>0.5*C262</f>
        <v>0.5</v>
      </c>
      <c r="D256" s="110"/>
      <c r="E256" s="108" t="s">
        <v>871</v>
      </c>
    </row>
    <row r="257" spans="1:5" ht="13.8" x14ac:dyDescent="0.25">
      <c r="A257" s="4" t="s">
        <v>872</v>
      </c>
      <c r="B257" s="4" t="s">
        <v>125</v>
      </c>
      <c r="C257" s="110">
        <f>0.2*C262</f>
        <v>0.2</v>
      </c>
      <c r="D257" s="110"/>
      <c r="E257" s="108" t="s">
        <v>873</v>
      </c>
    </row>
    <row r="258" spans="1:5" ht="13.8" x14ac:dyDescent="0.25">
      <c r="A258" s="4" t="s">
        <v>874</v>
      </c>
      <c r="B258" s="4" t="s">
        <v>125</v>
      </c>
      <c r="C258" s="110">
        <f>0.1*C262</f>
        <v>0.1</v>
      </c>
      <c r="D258" s="110"/>
      <c r="E258" s="108" t="s">
        <v>875</v>
      </c>
    </row>
    <row r="259" spans="1:5" ht="41.4" x14ac:dyDescent="0.25">
      <c r="A259" s="4" t="s">
        <v>876</v>
      </c>
      <c r="B259" s="4" t="s">
        <v>125</v>
      </c>
      <c r="C259" s="110">
        <f>0.1*C262</f>
        <v>0.1</v>
      </c>
      <c r="D259" s="110"/>
      <c r="E259" s="108" t="s">
        <v>877</v>
      </c>
    </row>
    <row r="260" spans="1:5" ht="13.8" x14ac:dyDescent="0.25">
      <c r="A260" s="4" t="s">
        <v>753</v>
      </c>
      <c r="B260" s="4" t="s">
        <v>125</v>
      </c>
      <c r="C260" s="110">
        <f>0.1*C262</f>
        <v>0.1</v>
      </c>
      <c r="D260" s="110"/>
      <c r="E260" s="108" t="s">
        <v>878</v>
      </c>
    </row>
    <row r="261" spans="1:5" ht="13.8" x14ac:dyDescent="0.25">
      <c r="A261" s="47" t="s">
        <v>35</v>
      </c>
      <c r="B261" s="3"/>
      <c r="C261" s="110"/>
      <c r="D261" s="110"/>
      <c r="E261" s="108" t="s">
        <v>752</v>
      </c>
    </row>
    <row r="262" spans="1:5" ht="13.8" x14ac:dyDescent="0.25">
      <c r="A262" s="3" t="s">
        <v>879</v>
      </c>
      <c r="B262" s="3" t="s">
        <v>125</v>
      </c>
      <c r="C262" s="110">
        <v>1</v>
      </c>
      <c r="D262" s="110"/>
      <c r="E262" s="109"/>
    </row>
    <row r="263" spans="1:5" ht="13.8" x14ac:dyDescent="0.25">
      <c r="A263" s="3"/>
      <c r="B263" s="3"/>
      <c r="C263" s="110"/>
      <c r="D263" s="110"/>
      <c r="E263" s="109"/>
    </row>
  </sheetData>
  <mergeCells count="20">
    <mergeCell ref="A252:E252"/>
    <mergeCell ref="B254:E254"/>
    <mergeCell ref="B197:E197"/>
    <mergeCell ref="B241:E241"/>
    <mergeCell ref="A213:E213"/>
    <mergeCell ref="B215:E215"/>
    <mergeCell ref="A227:E227"/>
    <mergeCell ref="B229:E229"/>
    <mergeCell ref="A239:E239"/>
    <mergeCell ref="A3:E3"/>
    <mergeCell ref="A195:E195"/>
    <mergeCell ref="A116:E116"/>
    <mergeCell ref="A136:E136"/>
    <mergeCell ref="A95:E95"/>
    <mergeCell ref="A149:E149"/>
    <mergeCell ref="A166:E166"/>
    <mergeCell ref="B168:E168"/>
    <mergeCell ref="A54:E54"/>
    <mergeCell ref="A76:E76"/>
    <mergeCell ref="A33:E33"/>
  </mergeCell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F6576-9D75-41A7-9E6B-7BCC42DAEBE4}">
  <dimension ref="A1:S71"/>
  <sheetViews>
    <sheetView tabSelected="1" workbookViewId="0">
      <selection activeCell="H30" sqref="H30"/>
    </sheetView>
  </sheetViews>
  <sheetFormatPr baseColWidth="10" defaultColWidth="11.44140625" defaultRowHeight="14.4" x14ac:dyDescent="0.3"/>
  <cols>
    <col min="1" max="1" width="25.88671875" style="185" customWidth="1"/>
    <col min="2" max="8" width="11.44140625" style="185"/>
    <col min="9" max="9" width="13" style="185" bestFit="1" customWidth="1"/>
    <col min="10" max="10" width="11.44140625" style="185"/>
    <col min="11" max="11" width="54.6640625" style="185" customWidth="1"/>
    <col min="12" max="16384" width="11.44140625" style="185"/>
  </cols>
  <sheetData>
    <row r="1" spans="1:19" x14ac:dyDescent="0.3">
      <c r="A1" s="185" t="s">
        <v>890</v>
      </c>
      <c r="B1" s="185" t="s">
        <v>891</v>
      </c>
      <c r="C1" s="185" t="s">
        <v>892</v>
      </c>
      <c r="D1" s="185" t="s">
        <v>893</v>
      </c>
      <c r="E1" s="185" t="s">
        <v>894</v>
      </c>
      <c r="F1" s="185" t="s">
        <v>895</v>
      </c>
      <c r="G1" s="185" t="s">
        <v>896</v>
      </c>
      <c r="H1" s="185" t="s">
        <v>897</v>
      </c>
      <c r="K1" s="208" t="s">
        <v>1000</v>
      </c>
      <c r="M1" s="247" t="s">
        <v>898</v>
      </c>
      <c r="N1" s="247"/>
      <c r="O1" s="247" t="s">
        <v>899</v>
      </c>
      <c r="P1" s="247"/>
      <c r="Q1" s="247" t="s">
        <v>900</v>
      </c>
      <c r="R1" s="247"/>
    </row>
    <row r="2" spans="1:19" x14ac:dyDescent="0.3">
      <c r="A2" s="186" t="s">
        <v>901</v>
      </c>
      <c r="B2" s="187">
        <v>0.37349228070054902</v>
      </c>
      <c r="C2" s="187">
        <v>0.12740560935773679</v>
      </c>
      <c r="D2" s="187">
        <v>0.24168719562112589</v>
      </c>
      <c r="E2" s="187">
        <v>0.13865856100212481</v>
      </c>
      <c r="F2" s="187">
        <v>0.66205093302087004</v>
      </c>
      <c r="G2" s="187">
        <v>0.19790123382249999</v>
      </c>
      <c r="H2" s="185" t="s">
        <v>902</v>
      </c>
      <c r="K2" s="207" t="s">
        <v>903</v>
      </c>
      <c r="M2" s="185" t="s">
        <v>660</v>
      </c>
      <c r="N2" s="185" t="s">
        <v>669</v>
      </c>
      <c r="O2" s="185" t="s">
        <v>660</v>
      </c>
      <c r="P2" s="185" t="s">
        <v>669</v>
      </c>
      <c r="Q2" s="185" t="s">
        <v>660</v>
      </c>
      <c r="R2" s="185" t="s">
        <v>669</v>
      </c>
      <c r="S2" s="185" t="s">
        <v>897</v>
      </c>
    </row>
    <row r="3" spans="1:19" x14ac:dyDescent="0.3">
      <c r="A3" s="186" t="s">
        <v>903</v>
      </c>
      <c r="B3" s="187">
        <v>94.428134249607126</v>
      </c>
      <c r="C3" s="187">
        <v>51.451796087851058</v>
      </c>
      <c r="D3" s="187">
        <v>100.959898345727</v>
      </c>
      <c r="E3" s="187">
        <v>60.622517652332903</v>
      </c>
      <c r="F3" s="187">
        <v>218.4485935047714</v>
      </c>
      <c r="G3" s="187">
        <v>86.750703793861035</v>
      </c>
      <c r="H3" s="185" t="s">
        <v>904</v>
      </c>
      <c r="M3" s="188">
        <f>VLOOKUP($K$2,$A$2:$H$20,2,FALSE)</f>
        <v>94.428134249607126</v>
      </c>
      <c r="N3" s="188">
        <f>VLOOKUP($K$2,$A$2:$H$20,3,FALSE)</f>
        <v>51.451796087851058</v>
      </c>
      <c r="O3" s="188">
        <f>VLOOKUP($K$2,$A$2:$H$20,4,FALSE)</f>
        <v>100.959898345727</v>
      </c>
      <c r="P3" s="188">
        <f>VLOOKUP($K$2,$A$2:$H$20,5,FALSE)</f>
        <v>60.622517652332903</v>
      </c>
      <c r="Q3" s="188">
        <f>VLOOKUP($K$2,$A$2:$H$20,6,FALSE)</f>
        <v>218.4485935047714</v>
      </c>
      <c r="R3" s="188">
        <f>VLOOKUP($K$2,$A$2:$H$20,7,FALSE)</f>
        <v>86.750703793861035</v>
      </c>
      <c r="S3" s="185" t="str">
        <f>VLOOKUP($K$2,$A$2:$H$20,8,FALSE)</f>
        <v>kg CO2-Eq</v>
      </c>
    </row>
    <row r="4" spans="1:19" hidden="1" x14ac:dyDescent="0.3">
      <c r="A4" s="185" t="s">
        <v>905</v>
      </c>
      <c r="B4" s="187">
        <v>2.4427217380315831</v>
      </c>
      <c r="C4" s="187">
        <v>0.30460055248415352</v>
      </c>
      <c r="D4" s="187">
        <v>0.24477190130937421</v>
      </c>
      <c r="E4" s="187">
        <v>0.33391570214672861</v>
      </c>
      <c r="F4" s="187">
        <v>2.179208373761921</v>
      </c>
      <c r="G4" s="187">
        <v>0.5220562309655391</v>
      </c>
      <c r="H4" s="185" t="s">
        <v>904</v>
      </c>
      <c r="N4" s="189">
        <f>(M3-N3)/M3</f>
        <v>0.45512217839817026</v>
      </c>
      <c r="O4" s="189"/>
      <c r="P4" s="189">
        <f>(O3-P3)/O3</f>
        <v>0.39953864211771289</v>
      </c>
      <c r="Q4" s="189"/>
      <c r="R4" s="189">
        <f>(Q3-R3)/Q3</f>
        <v>0.60287817649891984</v>
      </c>
    </row>
    <row r="5" spans="1:19" hidden="1" x14ac:dyDescent="0.3">
      <c r="A5" s="185" t="s">
        <v>906</v>
      </c>
      <c r="B5" s="187">
        <v>91.883358210284371</v>
      </c>
      <c r="C5" s="187">
        <v>51.104833581974283</v>
      </c>
      <c r="D5" s="187">
        <v>100.65921119569499</v>
      </c>
      <c r="E5" s="187">
        <v>60.242299402801642</v>
      </c>
      <c r="F5" s="187">
        <v>216.05253240954929</v>
      </c>
      <c r="G5" s="187">
        <v>86.16277708223231</v>
      </c>
      <c r="H5" s="185" t="s">
        <v>904</v>
      </c>
    </row>
    <row r="6" spans="1:19" hidden="1" x14ac:dyDescent="0.3">
      <c r="A6" s="185" t="s">
        <v>907</v>
      </c>
      <c r="B6" s="187">
        <v>0.102054301291172</v>
      </c>
      <c r="C6" s="187">
        <v>4.2361953392641927E-2</v>
      </c>
      <c r="D6" s="187">
        <v>5.5915248722605282E-2</v>
      </c>
      <c r="E6" s="187">
        <v>4.630254738453822E-2</v>
      </c>
      <c r="F6" s="187">
        <v>0.216852721460154</v>
      </c>
      <c r="G6" s="187">
        <v>6.5870480663174996E-2</v>
      </c>
      <c r="H6" s="185" t="s">
        <v>904</v>
      </c>
    </row>
    <row r="7" spans="1:19" x14ac:dyDescent="0.3">
      <c r="A7" s="186" t="s">
        <v>908</v>
      </c>
      <c r="B7" s="187">
        <v>3558.803387962872</v>
      </c>
      <c r="C7" s="187">
        <v>527.50758404574447</v>
      </c>
      <c r="D7" s="187">
        <v>801.59837107656188</v>
      </c>
      <c r="E7" s="187">
        <v>541.98479464177558</v>
      </c>
      <c r="F7" s="187">
        <v>3584.062973735267</v>
      </c>
      <c r="G7" s="187">
        <v>780.93142718575575</v>
      </c>
      <c r="H7" s="185" t="s">
        <v>909</v>
      </c>
    </row>
    <row r="8" spans="1:19" x14ac:dyDescent="0.3">
      <c r="A8" s="186" t="s">
        <v>910</v>
      </c>
      <c r="B8" s="187">
        <v>1184.960280188257</v>
      </c>
      <c r="C8" s="187">
        <v>796.43775995896794</v>
      </c>
      <c r="D8" s="187">
        <v>1437.302306039132</v>
      </c>
      <c r="E8" s="187">
        <v>923.98149267372241</v>
      </c>
      <c r="F8" s="187">
        <v>3127.0822374370741</v>
      </c>
      <c r="G8" s="187">
        <v>1337.1643182509399</v>
      </c>
      <c r="H8" s="185" t="s">
        <v>911</v>
      </c>
    </row>
    <row r="9" spans="1:19" x14ac:dyDescent="0.3">
      <c r="A9" s="186" t="s">
        <v>912</v>
      </c>
      <c r="B9" s="190">
        <v>4.4741673592412781E-2</v>
      </c>
      <c r="C9" s="190">
        <v>3.3263429173257912E-2</v>
      </c>
      <c r="D9" s="190">
        <v>2.787727380037671E-2</v>
      </c>
      <c r="E9" s="190">
        <v>3.6889814548854781E-2</v>
      </c>
      <c r="F9" s="190">
        <v>0.12644239896600659</v>
      </c>
      <c r="G9" s="190">
        <v>5.7234505653970369E-2</v>
      </c>
      <c r="H9" s="185" t="s">
        <v>913</v>
      </c>
    </row>
    <row r="10" spans="1:19" x14ac:dyDescent="0.3">
      <c r="A10" s="186" t="s">
        <v>914</v>
      </c>
      <c r="B10" s="190">
        <v>9.7136383688944866E-2</v>
      </c>
      <c r="C10" s="190">
        <v>3.1714480290257432E-2</v>
      </c>
      <c r="D10" s="190">
        <v>5.1128590563569852E-2</v>
      </c>
      <c r="E10" s="190">
        <v>3.4505488940419902E-2</v>
      </c>
      <c r="F10" s="190">
        <v>0.17390295419074961</v>
      </c>
      <c r="G10" s="190">
        <v>4.9915995256775668E-2</v>
      </c>
      <c r="H10" s="185" t="s">
        <v>915</v>
      </c>
    </row>
    <row r="11" spans="1:19" x14ac:dyDescent="0.3">
      <c r="A11" s="186" t="s">
        <v>916</v>
      </c>
      <c r="B11" s="187">
        <v>0.8869997381123722</v>
      </c>
      <c r="C11" s="187">
        <v>0.28211167118700092</v>
      </c>
      <c r="D11" s="187">
        <v>0.50147924103133323</v>
      </c>
      <c r="E11" s="187">
        <v>0.3006921092006572</v>
      </c>
      <c r="F11" s="187">
        <v>1.576364400327039</v>
      </c>
      <c r="G11" s="187">
        <v>0.4364207030612256</v>
      </c>
      <c r="H11" s="185" t="s">
        <v>917</v>
      </c>
    </row>
    <row r="12" spans="1:19" x14ac:dyDescent="0.3">
      <c r="A12" s="186" t="s">
        <v>918</v>
      </c>
      <c r="B12" s="191">
        <v>4.2548726223300278E-7</v>
      </c>
      <c r="C12" s="191">
        <v>2.525459982681596E-8</v>
      </c>
      <c r="D12" s="191">
        <v>2.702699186068435E-8</v>
      </c>
      <c r="E12" s="191">
        <v>2.3374140966321709E-8</v>
      </c>
      <c r="F12" s="191">
        <v>4.9979071995954271E-7</v>
      </c>
      <c r="G12" s="191">
        <v>3.5338986223895767E-8</v>
      </c>
      <c r="H12" s="185" t="s">
        <v>919</v>
      </c>
    </row>
    <row r="13" spans="1:19" x14ac:dyDescent="0.3">
      <c r="A13" s="186" t="s">
        <v>920</v>
      </c>
      <c r="B13" s="191">
        <v>2.1728332004430981E-6</v>
      </c>
      <c r="C13" s="191">
        <v>4.9330147233183431E-7</v>
      </c>
      <c r="D13" s="191">
        <v>6.2991377474400779E-7</v>
      </c>
      <c r="E13" s="191">
        <v>5.0970076436931958E-7</v>
      </c>
      <c r="F13" s="191">
        <v>3.313654419831778E-6</v>
      </c>
      <c r="G13" s="191">
        <v>7.5795203269469677E-7</v>
      </c>
      <c r="H13" s="185" t="s">
        <v>919</v>
      </c>
    </row>
    <row r="14" spans="1:19" x14ac:dyDescent="0.3">
      <c r="A14" s="186" t="s">
        <v>921</v>
      </c>
      <c r="B14" s="187">
        <v>6.1682885108962511</v>
      </c>
      <c r="C14" s="187">
        <v>4.4516033757564406</v>
      </c>
      <c r="D14" s="187">
        <v>5.3901222758358314</v>
      </c>
      <c r="E14" s="187">
        <v>5.0451966543540179</v>
      </c>
      <c r="F14" s="187">
        <v>17.79635006964773</v>
      </c>
      <c r="G14" s="187">
        <v>7.6042637054239197</v>
      </c>
      <c r="H14" s="185" t="s">
        <v>922</v>
      </c>
    </row>
    <row r="15" spans="1:19" x14ac:dyDescent="0.3">
      <c r="A15" s="186" t="s">
        <v>923</v>
      </c>
      <c r="B15" s="187">
        <v>3268.9465642971682</v>
      </c>
      <c r="C15" s="187">
        <v>144.08293864711169</v>
      </c>
      <c r="D15" s="187">
        <v>202.44074563955041</v>
      </c>
      <c r="E15" s="187">
        <v>133.3234966234605</v>
      </c>
      <c r="F15" s="187">
        <v>6370.8880223354017</v>
      </c>
      <c r="G15" s="187">
        <v>197.67987970482241</v>
      </c>
      <c r="H15" s="185" t="s">
        <v>924</v>
      </c>
    </row>
    <row r="16" spans="1:19" x14ac:dyDescent="0.3">
      <c r="A16" s="186" t="s">
        <v>925</v>
      </c>
      <c r="B16" s="191">
        <v>8.5484100483071098E-4</v>
      </c>
      <c r="C16" s="191">
        <v>3.4805261259712793E-4</v>
      </c>
      <c r="D16" s="191">
        <v>3.5312110891269388E-4</v>
      </c>
      <c r="E16" s="191">
        <v>3.5068917978307618E-4</v>
      </c>
      <c r="F16" s="191">
        <v>1.630510477774984E-3</v>
      </c>
      <c r="G16" s="191">
        <v>5.1653977546422668E-4</v>
      </c>
      <c r="H16" s="185" t="s">
        <v>926</v>
      </c>
    </row>
    <row r="17" spans="1:12" x14ac:dyDescent="0.3">
      <c r="A17" s="186" t="s">
        <v>927</v>
      </c>
      <c r="B17" s="191">
        <v>7.2503005457203664E-6</v>
      </c>
      <c r="C17" s="191">
        <v>4.7380706577290914E-6</v>
      </c>
      <c r="D17" s="191">
        <v>4.6895610806837549E-6</v>
      </c>
      <c r="E17" s="191">
        <v>5.1017049474516524E-6</v>
      </c>
      <c r="F17" s="191">
        <v>1.8493711684744371E-5</v>
      </c>
      <c r="G17" s="191">
        <v>7.7128952182561026E-6</v>
      </c>
      <c r="H17" s="185" t="s">
        <v>928</v>
      </c>
    </row>
    <row r="18" spans="1:12" x14ac:dyDescent="0.3">
      <c r="A18" s="186" t="s">
        <v>929</v>
      </c>
      <c r="B18" s="191">
        <v>6.2351303886129532E-6</v>
      </c>
      <c r="C18" s="191">
        <v>9.6015961159734082E-7</v>
      </c>
      <c r="D18" s="191">
        <v>2.0670185420400181E-6</v>
      </c>
      <c r="E18" s="191">
        <v>9.3746099383097403E-7</v>
      </c>
      <c r="F18" s="191">
        <v>7.670623540506132E-6</v>
      </c>
      <c r="G18" s="191">
        <v>1.315620972399055E-6</v>
      </c>
      <c r="H18" s="185" t="s">
        <v>930</v>
      </c>
    </row>
    <row r="19" spans="1:12" x14ac:dyDescent="0.3">
      <c r="A19" s="186" t="s">
        <v>931</v>
      </c>
      <c r="B19" s="187">
        <v>0.35388926988515962</v>
      </c>
      <c r="C19" s="187">
        <v>0.10031635463626799</v>
      </c>
      <c r="D19" s="187">
        <v>0.1867544907093901</v>
      </c>
      <c r="E19" s="187">
        <v>0.1084147719420253</v>
      </c>
      <c r="F19" s="187">
        <v>0.56641553513546528</v>
      </c>
      <c r="G19" s="187">
        <v>0.155637320607075</v>
      </c>
      <c r="H19" s="185" t="s">
        <v>932</v>
      </c>
    </row>
    <row r="20" spans="1:12" x14ac:dyDescent="0.3">
      <c r="A20" s="186" t="s">
        <v>933</v>
      </c>
      <c r="B20" s="187">
        <v>39.100302134271722</v>
      </c>
      <c r="C20" s="187">
        <v>10.6454099233185</v>
      </c>
      <c r="D20" s="187">
        <v>22.29755975644218</v>
      </c>
      <c r="E20" s="187">
        <v>11.51274914059475</v>
      </c>
      <c r="F20" s="187">
        <v>65.414470640967735</v>
      </c>
      <c r="G20" s="187">
        <v>15.866095117759199</v>
      </c>
      <c r="H20" s="185" t="s">
        <v>934</v>
      </c>
    </row>
    <row r="21" spans="1:12" x14ac:dyDescent="0.3">
      <c r="B21" s="185">
        <v>1</v>
      </c>
      <c r="C21" s="185">
        <v>2</v>
      </c>
      <c r="D21" s="185">
        <v>3</v>
      </c>
      <c r="E21" s="185">
        <v>4</v>
      </c>
      <c r="F21" s="185">
        <v>5</v>
      </c>
      <c r="G21" s="185">
        <v>6</v>
      </c>
    </row>
    <row r="23" spans="1:12" x14ac:dyDescent="0.3">
      <c r="A23" s="185" t="s">
        <v>905</v>
      </c>
      <c r="B23" s="192">
        <f>B4/B3</f>
        <v>2.586857992528584E-2</v>
      </c>
      <c r="C23" s="192">
        <f t="shared" ref="C23:G23" si="0">C4/C3</f>
        <v>5.920115052233845E-3</v>
      </c>
      <c r="D23" s="192">
        <f t="shared" si="0"/>
        <v>2.4244467884781094E-3</v>
      </c>
      <c r="E23" s="192">
        <f t="shared" si="0"/>
        <v>5.508113405347472E-3</v>
      </c>
      <c r="F23" s="192">
        <f t="shared" si="0"/>
        <v>9.9758407174835948E-3</v>
      </c>
      <c r="G23" s="192">
        <f t="shared" si="0"/>
        <v>6.0178904393220923E-3</v>
      </c>
      <c r="L23" s="192"/>
    </row>
    <row r="24" spans="1:12" x14ac:dyDescent="0.3">
      <c r="A24" s="185" t="s">
        <v>906</v>
      </c>
      <c r="B24" s="192">
        <f>B5/B3</f>
        <v>0.97305065847646621</v>
      </c>
      <c r="C24" s="192">
        <f t="shared" ref="C24:G24" si="1">C5/C3</f>
        <v>0.99325655210783403</v>
      </c>
      <c r="D24" s="192">
        <f t="shared" si="1"/>
        <v>0.9970217169890333</v>
      </c>
      <c r="E24" s="192">
        <f t="shared" si="1"/>
        <v>0.99372810196185202</v>
      </c>
      <c r="F24" s="192">
        <f t="shared" si="1"/>
        <v>0.98903146476349468</v>
      </c>
      <c r="G24" s="192">
        <f t="shared" si="1"/>
        <v>0.99322280182272904</v>
      </c>
      <c r="H24" s="185" t="s">
        <v>935</v>
      </c>
    </row>
    <row r="25" spans="1:12" x14ac:dyDescent="0.3">
      <c r="A25" s="185" t="s">
        <v>907</v>
      </c>
      <c r="B25" s="192">
        <f>B6/B3</f>
        <v>1.080761598247893E-3</v>
      </c>
      <c r="C25" s="192">
        <f t="shared" ref="C25:G25" si="2">C6/C3</f>
        <v>8.2333283993257041E-4</v>
      </c>
      <c r="D25" s="192">
        <f t="shared" si="2"/>
        <v>5.5383622248835027E-4</v>
      </c>
      <c r="E25" s="192">
        <f t="shared" si="2"/>
        <v>7.6378463280065345E-4</v>
      </c>
      <c r="F25" s="192">
        <f t="shared" si="2"/>
        <v>9.9269451902155395E-4</v>
      </c>
      <c r="G25" s="192">
        <f t="shared" si="2"/>
        <v>7.5930773794870765E-4</v>
      </c>
    </row>
    <row r="28" spans="1:12" x14ac:dyDescent="0.3">
      <c r="C28" s="185" t="s">
        <v>936</v>
      </c>
    </row>
    <row r="29" spans="1:12" x14ac:dyDescent="0.3">
      <c r="C29" s="185" t="s">
        <v>937</v>
      </c>
      <c r="D29" s="185" t="s">
        <v>899</v>
      </c>
      <c r="E29" s="185" t="s">
        <v>900</v>
      </c>
    </row>
    <row r="30" spans="1:12" x14ac:dyDescent="0.3">
      <c r="A30" s="186" t="s">
        <v>901</v>
      </c>
      <c r="C30" s="210">
        <f>(B2-C2)/B2</f>
        <v>0.65888020732646557</v>
      </c>
      <c r="D30" s="193">
        <f t="shared" ref="D30:D48" si="3">(D2-E2)/D2</f>
        <v>0.42628917247445336</v>
      </c>
      <c r="E30" s="210">
        <f t="shared" ref="E30:E48" si="4">(F2-G2)/F2</f>
        <v>0.70107853648132912</v>
      </c>
      <c r="G30" s="202"/>
      <c r="H30" s="211" t="s">
        <v>1001</v>
      </c>
      <c r="I30" s="187"/>
    </row>
    <row r="31" spans="1:12" x14ac:dyDescent="0.3">
      <c r="A31" s="186" t="s">
        <v>903</v>
      </c>
      <c r="C31" s="193">
        <f t="shared" ref="C31:C48" si="5">(B3-C3)/B3</f>
        <v>0.45512217839817026</v>
      </c>
      <c r="D31" s="193">
        <f t="shared" si="3"/>
        <v>0.39953864211771289</v>
      </c>
      <c r="E31" s="210">
        <f t="shared" si="4"/>
        <v>0.60287817649891984</v>
      </c>
      <c r="G31" s="203"/>
      <c r="H31" s="211" t="s">
        <v>1002</v>
      </c>
      <c r="I31" s="187"/>
    </row>
    <row r="32" spans="1:12" hidden="1" x14ac:dyDescent="0.3">
      <c r="A32" s="185" t="s">
        <v>905</v>
      </c>
      <c r="C32" s="189">
        <f t="shared" si="5"/>
        <v>0.87530280353192857</v>
      </c>
      <c r="D32" s="193">
        <f t="shared" si="3"/>
        <v>-0.36419131591694837</v>
      </c>
      <c r="E32" s="210">
        <f t="shared" si="4"/>
        <v>0.76043767211470248</v>
      </c>
      <c r="H32" s="211" t="s">
        <v>1002</v>
      </c>
      <c r="I32" s="187"/>
    </row>
    <row r="33" spans="1:9" x14ac:dyDescent="0.3">
      <c r="A33" s="186" t="s">
        <v>906</v>
      </c>
      <c r="C33" s="193">
        <f t="shared" si="5"/>
        <v>0.44380751229166338</v>
      </c>
      <c r="D33" s="193">
        <f t="shared" si="3"/>
        <v>0.40152223838032525</v>
      </c>
      <c r="E33" s="210">
        <f t="shared" si="4"/>
        <v>0.60119524579835937</v>
      </c>
      <c r="G33" s="194"/>
      <c r="H33" s="211" t="s">
        <v>1003</v>
      </c>
      <c r="I33" s="187"/>
    </row>
    <row r="34" spans="1:9" hidden="1" x14ac:dyDescent="0.3">
      <c r="A34" s="185" t="s">
        <v>907</v>
      </c>
      <c r="C34" s="189">
        <f t="shared" si="5"/>
        <v>0.58490771229937022</v>
      </c>
      <c r="D34" s="193">
        <f t="shared" si="3"/>
        <v>0.17191556074006806</v>
      </c>
      <c r="E34" s="210">
        <f t="shared" si="4"/>
        <v>0.69624323725502113</v>
      </c>
      <c r="G34" s="195"/>
      <c r="H34" s="211" t="s">
        <v>1003</v>
      </c>
      <c r="I34" s="187"/>
    </row>
    <row r="35" spans="1:9" x14ac:dyDescent="0.3">
      <c r="A35" s="186" t="s">
        <v>908</v>
      </c>
      <c r="C35" s="209">
        <f t="shared" si="5"/>
        <v>0.85177388955232514</v>
      </c>
      <c r="D35" s="193">
        <f t="shared" si="3"/>
        <v>0.32386989021212748</v>
      </c>
      <c r="E35" s="210">
        <f t="shared" si="4"/>
        <v>0.78211001511173828</v>
      </c>
      <c r="G35" s="198"/>
      <c r="H35" s="211" t="s">
        <v>1004</v>
      </c>
      <c r="I35" s="187"/>
    </row>
    <row r="36" spans="1:9" x14ac:dyDescent="0.3">
      <c r="A36" s="186" t="s">
        <v>910</v>
      </c>
      <c r="C36" s="193">
        <f t="shared" si="5"/>
        <v>0.32787809576837773</v>
      </c>
      <c r="D36" s="193">
        <f t="shared" si="3"/>
        <v>0.35714185610680699</v>
      </c>
      <c r="E36" s="210">
        <f t="shared" si="4"/>
        <v>0.57239233997668493</v>
      </c>
      <c r="G36" s="197"/>
      <c r="H36" s="211" t="s">
        <v>1006</v>
      </c>
      <c r="I36" s="187"/>
    </row>
    <row r="37" spans="1:9" x14ac:dyDescent="0.3">
      <c r="A37" s="186" t="s">
        <v>912</v>
      </c>
      <c r="C37" s="193">
        <f t="shared" si="5"/>
        <v>0.25654481599681001</v>
      </c>
      <c r="D37" s="196">
        <f t="shared" si="3"/>
        <v>-0.32329347600540059</v>
      </c>
      <c r="E37" s="210">
        <f t="shared" si="4"/>
        <v>0.54734720218842436</v>
      </c>
      <c r="G37" s="196"/>
      <c r="H37" s="211" t="s">
        <v>1005</v>
      </c>
      <c r="I37" s="187"/>
    </row>
    <row r="38" spans="1:9" x14ac:dyDescent="0.3">
      <c r="A38" s="186" t="s">
        <v>914</v>
      </c>
      <c r="C38" s="210">
        <f t="shared" si="5"/>
        <v>0.67350565168438659</v>
      </c>
      <c r="D38" s="193">
        <f t="shared" si="3"/>
        <v>0.32512340825202102</v>
      </c>
      <c r="E38" s="210">
        <f t="shared" si="4"/>
        <v>0.71296637547615138</v>
      </c>
      <c r="I38" s="187"/>
    </row>
    <row r="39" spans="1:9" x14ac:dyDescent="0.3">
      <c r="A39" s="186" t="s">
        <v>916</v>
      </c>
      <c r="C39" s="210">
        <f t="shared" si="5"/>
        <v>0.68194841659439054</v>
      </c>
      <c r="D39" s="193">
        <f t="shared" si="3"/>
        <v>0.40038971786297839</v>
      </c>
      <c r="E39" s="210">
        <f t="shared" si="4"/>
        <v>0.72314732369578749</v>
      </c>
      <c r="I39" s="187"/>
    </row>
    <row r="40" spans="1:9" x14ac:dyDescent="0.3">
      <c r="A40" s="186" t="s">
        <v>918</v>
      </c>
      <c r="C40" s="209">
        <f t="shared" si="5"/>
        <v>0.94064546211259736</v>
      </c>
      <c r="D40" s="198">
        <f t="shared" si="3"/>
        <v>0.13515565894983578</v>
      </c>
      <c r="E40" s="209">
        <f t="shared" si="4"/>
        <v>0.92929243218690338</v>
      </c>
      <c r="I40" s="187"/>
    </row>
    <row r="41" spans="1:9" x14ac:dyDescent="0.3">
      <c r="A41" s="186" t="s">
        <v>920</v>
      </c>
      <c r="C41" s="210">
        <f t="shared" si="5"/>
        <v>0.77296854989548336</v>
      </c>
      <c r="D41" s="198">
        <f t="shared" si="3"/>
        <v>0.19084042164904533</v>
      </c>
      <c r="E41" s="210">
        <f t="shared" si="4"/>
        <v>0.77126400744795365</v>
      </c>
      <c r="I41" s="187"/>
    </row>
    <row r="42" spans="1:9" x14ac:dyDescent="0.3">
      <c r="A42" s="186" t="s">
        <v>921</v>
      </c>
      <c r="C42" s="193">
        <f t="shared" si="5"/>
        <v>0.27830817772341465</v>
      </c>
      <c r="D42" s="198">
        <f t="shared" si="3"/>
        <v>6.3992170090116707E-2</v>
      </c>
      <c r="E42" s="210">
        <f t="shared" si="4"/>
        <v>0.57270655636330481</v>
      </c>
      <c r="I42" s="187"/>
    </row>
    <row r="43" spans="1:9" x14ac:dyDescent="0.3">
      <c r="A43" s="186" t="s">
        <v>923</v>
      </c>
      <c r="C43" s="209">
        <f t="shared" si="5"/>
        <v>0.95592374001436453</v>
      </c>
      <c r="D43" s="210">
        <f t="shared" si="3"/>
        <v>0.34141965244069239</v>
      </c>
      <c r="E43" s="209">
        <f t="shared" si="4"/>
        <v>0.96897137745761885</v>
      </c>
      <c r="I43" s="187"/>
    </row>
    <row r="44" spans="1:9" x14ac:dyDescent="0.3">
      <c r="A44" s="186" t="s">
        <v>925</v>
      </c>
      <c r="C44" s="210">
        <f t="shared" si="5"/>
        <v>0.5928452067340233</v>
      </c>
      <c r="D44" s="198">
        <f t="shared" si="3"/>
        <v>6.8869548385423109E-3</v>
      </c>
      <c r="E44" s="210">
        <f t="shared" si="4"/>
        <v>0.68320364541962131</v>
      </c>
      <c r="I44" s="187"/>
    </row>
    <row r="45" spans="1:9" x14ac:dyDescent="0.3">
      <c r="A45" s="186" t="s">
        <v>927</v>
      </c>
      <c r="C45" s="193">
        <f t="shared" si="5"/>
        <v>0.34650010329215503</v>
      </c>
      <c r="D45" s="199">
        <f t="shared" si="3"/>
        <v>-8.7885381953017552E-2</v>
      </c>
      <c r="E45" s="210">
        <f t="shared" si="4"/>
        <v>0.58294498423382801</v>
      </c>
      <c r="I45" s="187"/>
    </row>
    <row r="46" spans="1:9" x14ac:dyDescent="0.3">
      <c r="A46" s="186" t="s">
        <v>929</v>
      </c>
      <c r="C46" s="209">
        <f t="shared" si="5"/>
        <v>0.84600809417701128</v>
      </c>
      <c r="D46" s="210">
        <f t="shared" si="3"/>
        <v>0.54646706124573097</v>
      </c>
      <c r="E46" s="209">
        <f t="shared" si="4"/>
        <v>0.82848578535347517</v>
      </c>
      <c r="I46" s="187"/>
    </row>
    <row r="47" spans="1:9" x14ac:dyDescent="0.3">
      <c r="A47" s="186" t="s">
        <v>931</v>
      </c>
      <c r="C47" s="210">
        <f t="shared" si="5"/>
        <v>0.71653179914490883</v>
      </c>
      <c r="D47" s="193">
        <f t="shared" si="3"/>
        <v>0.41947970552027986</v>
      </c>
      <c r="E47" s="210">
        <f t="shared" si="4"/>
        <v>0.7252241314852842</v>
      </c>
      <c r="I47" s="187"/>
    </row>
    <row r="48" spans="1:9" x14ac:dyDescent="0.3">
      <c r="A48" s="186" t="s">
        <v>933</v>
      </c>
      <c r="C48" s="210">
        <f t="shared" si="5"/>
        <v>0.72774098044660085</v>
      </c>
      <c r="D48" s="193">
        <f t="shared" si="3"/>
        <v>0.48367672219070956</v>
      </c>
      <c r="E48" s="210">
        <f t="shared" si="4"/>
        <v>0.75745282408778536</v>
      </c>
      <c r="I48" s="187"/>
    </row>
    <row r="49" spans="1:8" x14ac:dyDescent="0.3">
      <c r="C49" s="200"/>
      <c r="E49" s="200"/>
      <c r="G49" s="200"/>
    </row>
    <row r="50" spans="1:8" x14ac:dyDescent="0.3">
      <c r="C50" s="200"/>
      <c r="E50" s="200"/>
      <c r="G50" s="200"/>
    </row>
    <row r="51" spans="1:8" x14ac:dyDescent="0.3">
      <c r="C51" s="200"/>
      <c r="E51" s="200"/>
      <c r="G51" s="200"/>
    </row>
    <row r="52" spans="1:8" x14ac:dyDescent="0.3">
      <c r="C52" s="200"/>
      <c r="E52" s="200"/>
      <c r="G52" s="200"/>
    </row>
    <row r="53" spans="1:8" x14ac:dyDescent="0.3">
      <c r="C53" s="200"/>
      <c r="E53" s="200"/>
      <c r="G53" s="200"/>
    </row>
    <row r="55" spans="1:8" x14ac:dyDescent="0.3">
      <c r="A55" s="186"/>
      <c r="B55" s="187"/>
      <c r="C55" s="187"/>
      <c r="D55" s="187"/>
      <c r="E55" s="187"/>
      <c r="F55" s="187"/>
      <c r="G55" s="187"/>
    </row>
    <row r="56" spans="1:8" x14ac:dyDescent="0.3">
      <c r="A56" s="186"/>
      <c r="B56" s="187"/>
      <c r="C56" s="187"/>
      <c r="D56" s="187"/>
      <c r="E56" s="187"/>
      <c r="F56" s="187"/>
      <c r="G56" s="187"/>
    </row>
    <row r="57" spans="1:8" x14ac:dyDescent="0.3">
      <c r="B57" s="187"/>
      <c r="C57" s="187"/>
      <c r="D57" s="187"/>
      <c r="E57" s="187"/>
      <c r="F57" s="187"/>
      <c r="G57" s="187"/>
    </row>
    <row r="58" spans="1:8" x14ac:dyDescent="0.3">
      <c r="A58" s="186"/>
      <c r="B58" s="187"/>
      <c r="C58" s="187"/>
      <c r="D58" s="187"/>
      <c r="E58" s="187"/>
      <c r="F58" s="187"/>
      <c r="G58" s="187"/>
    </row>
    <row r="59" spans="1:8" x14ac:dyDescent="0.3">
      <c r="A59" s="186"/>
      <c r="B59" s="187"/>
      <c r="C59" s="187"/>
      <c r="D59" s="187"/>
      <c r="E59" s="187"/>
      <c r="F59" s="187"/>
      <c r="G59" s="187"/>
    </row>
    <row r="60" spans="1:8" x14ac:dyDescent="0.3">
      <c r="A60" s="186"/>
      <c r="B60" s="190"/>
      <c r="C60" s="190"/>
      <c r="D60" s="190"/>
      <c r="E60" s="190"/>
      <c r="F60" s="190"/>
      <c r="G60" s="190"/>
    </row>
    <row r="61" spans="1:8" x14ac:dyDescent="0.3">
      <c r="A61" s="186"/>
      <c r="B61" s="190"/>
      <c r="C61" s="190"/>
      <c r="D61" s="190"/>
      <c r="E61" s="190"/>
      <c r="F61" s="190"/>
      <c r="G61" s="190"/>
    </row>
    <row r="62" spans="1:8" x14ac:dyDescent="0.3">
      <c r="A62" s="186"/>
      <c r="B62" s="187"/>
      <c r="C62" s="187"/>
      <c r="D62" s="187"/>
      <c r="E62" s="187"/>
      <c r="F62" s="187"/>
      <c r="G62" s="187"/>
    </row>
    <row r="63" spans="1:8" x14ac:dyDescent="0.3">
      <c r="A63" s="186"/>
      <c r="B63" s="191"/>
      <c r="C63" s="191"/>
      <c r="D63" s="191"/>
      <c r="E63" s="191"/>
      <c r="F63" s="191"/>
      <c r="G63" s="191"/>
      <c r="H63" s="215"/>
    </row>
    <row r="64" spans="1:8" x14ac:dyDescent="0.3">
      <c r="A64" s="186"/>
      <c r="B64" s="191"/>
      <c r="C64" s="191"/>
      <c r="D64" s="191"/>
      <c r="E64" s="191"/>
      <c r="F64" s="191"/>
      <c r="G64" s="191"/>
    </row>
    <row r="65" spans="1:7" x14ac:dyDescent="0.3">
      <c r="A65" s="186"/>
      <c r="B65" s="187"/>
      <c r="C65" s="187"/>
      <c r="D65" s="187"/>
      <c r="E65" s="187"/>
      <c r="F65" s="187"/>
      <c r="G65" s="187"/>
    </row>
    <row r="66" spans="1:7" x14ac:dyDescent="0.3">
      <c r="A66" s="186"/>
      <c r="B66" s="187"/>
      <c r="C66" s="187"/>
      <c r="D66" s="187"/>
      <c r="E66" s="187"/>
      <c r="F66" s="187"/>
      <c r="G66" s="187"/>
    </row>
    <row r="67" spans="1:7" x14ac:dyDescent="0.3">
      <c r="A67" s="186"/>
      <c r="B67" s="191"/>
      <c r="C67" s="191"/>
      <c r="D67" s="191"/>
      <c r="E67" s="191"/>
      <c r="F67" s="191"/>
      <c r="G67" s="191"/>
    </row>
    <row r="68" spans="1:7" x14ac:dyDescent="0.3">
      <c r="A68" s="186"/>
      <c r="B68" s="191"/>
      <c r="C68" s="191"/>
      <c r="D68" s="191"/>
      <c r="E68" s="191"/>
      <c r="F68" s="191"/>
      <c r="G68" s="191"/>
    </row>
    <row r="69" spans="1:7" x14ac:dyDescent="0.3">
      <c r="A69" s="186"/>
      <c r="B69" s="191"/>
      <c r="C69" s="191"/>
      <c r="D69" s="191"/>
      <c r="E69" s="191"/>
      <c r="F69" s="191"/>
      <c r="G69" s="191"/>
    </row>
    <row r="70" spans="1:7" x14ac:dyDescent="0.3">
      <c r="A70" s="186"/>
      <c r="B70" s="187"/>
      <c r="C70" s="187"/>
      <c r="D70" s="187"/>
      <c r="E70" s="187"/>
      <c r="F70" s="187"/>
      <c r="G70" s="187"/>
    </row>
    <row r="71" spans="1:7" x14ac:dyDescent="0.3">
      <c r="A71" s="186"/>
      <c r="B71" s="187"/>
      <c r="C71" s="187"/>
      <c r="D71" s="187"/>
      <c r="E71" s="187"/>
      <c r="F71" s="187"/>
      <c r="G71" s="187"/>
    </row>
  </sheetData>
  <mergeCells count="3">
    <mergeCell ref="M1:N1"/>
    <mergeCell ref="O1:P1"/>
    <mergeCell ref="Q1:R1"/>
  </mergeCells>
  <conditionalFormatting sqref="B2:C2">
    <cfRule type="colorScale" priority="116">
      <colorScale>
        <cfvo type="min"/>
        <cfvo type="percentile" val="50"/>
        <cfvo type="max"/>
        <color rgb="FF63BE7B"/>
        <color rgb="FFFFEB84"/>
        <color rgb="FFF8696B"/>
      </colorScale>
    </cfRule>
  </conditionalFormatting>
  <conditionalFormatting sqref="B3:C3">
    <cfRule type="colorScale" priority="115">
      <colorScale>
        <cfvo type="min"/>
        <cfvo type="percentile" val="50"/>
        <cfvo type="max"/>
        <color rgb="FF63BE7B"/>
        <color rgb="FFFFEB84"/>
        <color rgb="FFF8696B"/>
      </colorScale>
    </cfRule>
  </conditionalFormatting>
  <conditionalFormatting sqref="B4:C4">
    <cfRule type="colorScale" priority="114">
      <colorScale>
        <cfvo type="min"/>
        <cfvo type="percentile" val="50"/>
        <cfvo type="max"/>
        <color rgb="FF63BE7B"/>
        <color rgb="FFFFEB84"/>
        <color rgb="FFF8696B"/>
      </colorScale>
    </cfRule>
  </conditionalFormatting>
  <conditionalFormatting sqref="B5:C5">
    <cfRule type="colorScale" priority="113">
      <colorScale>
        <cfvo type="min"/>
        <cfvo type="percentile" val="50"/>
        <cfvo type="max"/>
        <color rgb="FF63BE7B"/>
        <color rgb="FFFFEB84"/>
        <color rgb="FFF8696B"/>
      </colorScale>
    </cfRule>
  </conditionalFormatting>
  <conditionalFormatting sqref="B6:C6">
    <cfRule type="colorScale" priority="112">
      <colorScale>
        <cfvo type="min"/>
        <cfvo type="percentile" val="50"/>
        <cfvo type="max"/>
        <color rgb="FF63BE7B"/>
        <color rgb="FFFFEB84"/>
        <color rgb="FFF8696B"/>
      </colorScale>
    </cfRule>
  </conditionalFormatting>
  <conditionalFormatting sqref="B7:C7">
    <cfRule type="colorScale" priority="111">
      <colorScale>
        <cfvo type="min"/>
        <cfvo type="percentile" val="50"/>
        <cfvo type="max"/>
        <color rgb="FF63BE7B"/>
        <color rgb="FFFFEB84"/>
        <color rgb="FFF8696B"/>
      </colorScale>
    </cfRule>
  </conditionalFormatting>
  <conditionalFormatting sqref="B8:C8">
    <cfRule type="colorScale" priority="110">
      <colorScale>
        <cfvo type="min"/>
        <cfvo type="percentile" val="50"/>
        <cfvo type="max"/>
        <color rgb="FF63BE7B"/>
        <color rgb="FFFFEB84"/>
        <color rgb="FFF8696B"/>
      </colorScale>
    </cfRule>
  </conditionalFormatting>
  <conditionalFormatting sqref="B9:C9">
    <cfRule type="colorScale" priority="109">
      <colorScale>
        <cfvo type="min"/>
        <cfvo type="percentile" val="50"/>
        <cfvo type="max"/>
        <color rgb="FF63BE7B"/>
        <color rgb="FFFFEB84"/>
        <color rgb="FFF8696B"/>
      </colorScale>
    </cfRule>
  </conditionalFormatting>
  <conditionalFormatting sqref="B10:C10">
    <cfRule type="colorScale" priority="108">
      <colorScale>
        <cfvo type="min"/>
        <cfvo type="percentile" val="50"/>
        <cfvo type="max"/>
        <color rgb="FF63BE7B"/>
        <color rgb="FFFFEB84"/>
        <color rgb="FFF8696B"/>
      </colorScale>
    </cfRule>
  </conditionalFormatting>
  <conditionalFormatting sqref="B11:C11">
    <cfRule type="colorScale" priority="107">
      <colorScale>
        <cfvo type="min"/>
        <cfvo type="percentile" val="50"/>
        <cfvo type="max"/>
        <color rgb="FF63BE7B"/>
        <color rgb="FFFFEB84"/>
        <color rgb="FFF8696B"/>
      </colorScale>
    </cfRule>
  </conditionalFormatting>
  <conditionalFormatting sqref="B12:C12">
    <cfRule type="colorScale" priority="106">
      <colorScale>
        <cfvo type="min"/>
        <cfvo type="percentile" val="50"/>
        <cfvo type="max"/>
        <color rgb="FF63BE7B"/>
        <color rgb="FFFFEB84"/>
        <color rgb="FFF8696B"/>
      </colorScale>
    </cfRule>
  </conditionalFormatting>
  <conditionalFormatting sqref="B13:C13">
    <cfRule type="colorScale" priority="105">
      <colorScale>
        <cfvo type="min"/>
        <cfvo type="percentile" val="50"/>
        <cfvo type="max"/>
        <color rgb="FF63BE7B"/>
        <color rgb="FFFFEB84"/>
        <color rgb="FFF8696B"/>
      </colorScale>
    </cfRule>
  </conditionalFormatting>
  <conditionalFormatting sqref="B14:C14">
    <cfRule type="colorScale" priority="104">
      <colorScale>
        <cfvo type="min"/>
        <cfvo type="percentile" val="50"/>
        <cfvo type="max"/>
        <color rgb="FF63BE7B"/>
        <color rgb="FFFFEB84"/>
        <color rgb="FFF8696B"/>
      </colorScale>
    </cfRule>
  </conditionalFormatting>
  <conditionalFormatting sqref="B15:C15">
    <cfRule type="colorScale" priority="103">
      <colorScale>
        <cfvo type="min"/>
        <cfvo type="percentile" val="50"/>
        <cfvo type="max"/>
        <color rgb="FF63BE7B"/>
        <color rgb="FFFFEB84"/>
        <color rgb="FFF8696B"/>
      </colorScale>
    </cfRule>
  </conditionalFormatting>
  <conditionalFormatting sqref="B16:C16">
    <cfRule type="colorScale" priority="102">
      <colorScale>
        <cfvo type="min"/>
        <cfvo type="percentile" val="50"/>
        <cfvo type="max"/>
        <color rgb="FF63BE7B"/>
        <color rgb="FFFFEB84"/>
        <color rgb="FFF8696B"/>
      </colorScale>
    </cfRule>
  </conditionalFormatting>
  <conditionalFormatting sqref="B17:C17">
    <cfRule type="colorScale" priority="101">
      <colorScale>
        <cfvo type="min"/>
        <cfvo type="percentile" val="50"/>
        <cfvo type="max"/>
        <color rgb="FF63BE7B"/>
        <color rgb="FFFFEB84"/>
        <color rgb="FFF8696B"/>
      </colorScale>
    </cfRule>
  </conditionalFormatting>
  <conditionalFormatting sqref="B18:C18">
    <cfRule type="colorScale" priority="100">
      <colorScale>
        <cfvo type="min"/>
        <cfvo type="percentile" val="50"/>
        <cfvo type="max"/>
        <color rgb="FF63BE7B"/>
        <color rgb="FFFFEB84"/>
        <color rgb="FFF8696B"/>
      </colorScale>
    </cfRule>
  </conditionalFormatting>
  <conditionalFormatting sqref="B19:C19">
    <cfRule type="colorScale" priority="99">
      <colorScale>
        <cfvo type="min"/>
        <cfvo type="percentile" val="50"/>
        <cfvo type="max"/>
        <color rgb="FF63BE7B"/>
        <color rgb="FFFFEB84"/>
        <color rgb="FFF8696B"/>
      </colorScale>
    </cfRule>
  </conditionalFormatting>
  <conditionalFormatting sqref="B20:C20">
    <cfRule type="colorScale" priority="98">
      <colorScale>
        <cfvo type="min"/>
        <cfvo type="percentile" val="50"/>
        <cfvo type="max"/>
        <color rgb="FF63BE7B"/>
        <color rgb="FFFFEB84"/>
        <color rgb="FFF8696B"/>
      </colorScale>
    </cfRule>
  </conditionalFormatting>
  <conditionalFormatting sqref="D2:E2">
    <cfRule type="colorScale" priority="97">
      <colorScale>
        <cfvo type="min"/>
        <cfvo type="percentile" val="50"/>
        <cfvo type="max"/>
        <color rgb="FF63BE7B"/>
        <color rgb="FFFFEB84"/>
        <color rgb="FFF8696B"/>
      </colorScale>
    </cfRule>
  </conditionalFormatting>
  <conditionalFormatting sqref="D3:E3">
    <cfRule type="colorScale" priority="96">
      <colorScale>
        <cfvo type="min"/>
        <cfvo type="percentile" val="50"/>
        <cfvo type="max"/>
        <color rgb="FF63BE7B"/>
        <color rgb="FFFFEB84"/>
        <color rgb="FFF8696B"/>
      </colorScale>
    </cfRule>
  </conditionalFormatting>
  <conditionalFormatting sqref="D4:E4">
    <cfRule type="colorScale" priority="95">
      <colorScale>
        <cfvo type="min"/>
        <cfvo type="percentile" val="50"/>
        <cfvo type="max"/>
        <color rgb="FF63BE7B"/>
        <color rgb="FFFFEB84"/>
        <color rgb="FFF8696B"/>
      </colorScale>
    </cfRule>
  </conditionalFormatting>
  <conditionalFormatting sqref="D5:E5">
    <cfRule type="colorScale" priority="94">
      <colorScale>
        <cfvo type="min"/>
        <cfvo type="percentile" val="50"/>
        <cfvo type="max"/>
        <color rgb="FF63BE7B"/>
        <color rgb="FFFFEB84"/>
        <color rgb="FFF8696B"/>
      </colorScale>
    </cfRule>
  </conditionalFormatting>
  <conditionalFormatting sqref="D6:E6">
    <cfRule type="colorScale" priority="93">
      <colorScale>
        <cfvo type="min"/>
        <cfvo type="percentile" val="50"/>
        <cfvo type="max"/>
        <color rgb="FF63BE7B"/>
        <color rgb="FFFFEB84"/>
        <color rgb="FFF8696B"/>
      </colorScale>
    </cfRule>
  </conditionalFormatting>
  <conditionalFormatting sqref="D7:E7">
    <cfRule type="colorScale" priority="92">
      <colorScale>
        <cfvo type="min"/>
        <cfvo type="percentile" val="50"/>
        <cfvo type="max"/>
        <color rgb="FF63BE7B"/>
        <color rgb="FFFFEB84"/>
        <color rgb="FFF8696B"/>
      </colorScale>
    </cfRule>
  </conditionalFormatting>
  <conditionalFormatting sqref="D8:E8">
    <cfRule type="colorScale" priority="91">
      <colorScale>
        <cfvo type="min"/>
        <cfvo type="percentile" val="50"/>
        <cfvo type="max"/>
        <color rgb="FF63BE7B"/>
        <color rgb="FFFFEB84"/>
        <color rgb="FFF8696B"/>
      </colorScale>
    </cfRule>
  </conditionalFormatting>
  <conditionalFormatting sqref="D9:E9">
    <cfRule type="colorScale" priority="90">
      <colorScale>
        <cfvo type="min"/>
        <cfvo type="percentile" val="50"/>
        <cfvo type="max"/>
        <color rgb="FF63BE7B"/>
        <color rgb="FFFFEB84"/>
        <color rgb="FFF8696B"/>
      </colorScale>
    </cfRule>
  </conditionalFormatting>
  <conditionalFormatting sqref="D10:E10">
    <cfRule type="colorScale" priority="89">
      <colorScale>
        <cfvo type="min"/>
        <cfvo type="percentile" val="50"/>
        <cfvo type="max"/>
        <color rgb="FF63BE7B"/>
        <color rgb="FFFFEB84"/>
        <color rgb="FFF8696B"/>
      </colorScale>
    </cfRule>
  </conditionalFormatting>
  <conditionalFormatting sqref="D11:E11">
    <cfRule type="colorScale" priority="88">
      <colorScale>
        <cfvo type="min"/>
        <cfvo type="percentile" val="50"/>
        <cfvo type="max"/>
        <color rgb="FF63BE7B"/>
        <color rgb="FFFFEB84"/>
        <color rgb="FFF8696B"/>
      </colorScale>
    </cfRule>
  </conditionalFormatting>
  <conditionalFormatting sqref="D12:E12">
    <cfRule type="colorScale" priority="87">
      <colorScale>
        <cfvo type="min"/>
        <cfvo type="percentile" val="50"/>
        <cfvo type="max"/>
        <color rgb="FF63BE7B"/>
        <color rgb="FFFFEB84"/>
        <color rgb="FFF8696B"/>
      </colorScale>
    </cfRule>
  </conditionalFormatting>
  <conditionalFormatting sqref="D13:E13">
    <cfRule type="colorScale" priority="86">
      <colorScale>
        <cfvo type="min"/>
        <cfvo type="percentile" val="50"/>
        <cfvo type="max"/>
        <color rgb="FF63BE7B"/>
        <color rgb="FFFFEB84"/>
        <color rgb="FFF8696B"/>
      </colorScale>
    </cfRule>
  </conditionalFormatting>
  <conditionalFormatting sqref="D14:E14">
    <cfRule type="colorScale" priority="85">
      <colorScale>
        <cfvo type="min"/>
        <cfvo type="percentile" val="50"/>
        <cfvo type="max"/>
        <color rgb="FF63BE7B"/>
        <color rgb="FFFFEB84"/>
        <color rgb="FFF8696B"/>
      </colorScale>
    </cfRule>
  </conditionalFormatting>
  <conditionalFormatting sqref="D15:E15">
    <cfRule type="colorScale" priority="84">
      <colorScale>
        <cfvo type="min"/>
        <cfvo type="percentile" val="50"/>
        <cfvo type="max"/>
        <color rgb="FF63BE7B"/>
        <color rgb="FFFFEB84"/>
        <color rgb="FFF8696B"/>
      </colorScale>
    </cfRule>
  </conditionalFormatting>
  <conditionalFormatting sqref="D16:E16">
    <cfRule type="colorScale" priority="83">
      <colorScale>
        <cfvo type="min"/>
        <cfvo type="percentile" val="50"/>
        <cfvo type="max"/>
        <color rgb="FF63BE7B"/>
        <color rgb="FFFFEB84"/>
        <color rgb="FFF8696B"/>
      </colorScale>
    </cfRule>
  </conditionalFormatting>
  <conditionalFormatting sqref="D17:E17">
    <cfRule type="colorScale" priority="82">
      <colorScale>
        <cfvo type="min"/>
        <cfvo type="percentile" val="50"/>
        <cfvo type="max"/>
        <color rgb="FF63BE7B"/>
        <color rgb="FFFFEB84"/>
        <color rgb="FFF8696B"/>
      </colorScale>
    </cfRule>
  </conditionalFormatting>
  <conditionalFormatting sqref="D18:E18">
    <cfRule type="colorScale" priority="81">
      <colorScale>
        <cfvo type="min"/>
        <cfvo type="percentile" val="50"/>
        <cfvo type="max"/>
        <color rgb="FF63BE7B"/>
        <color rgb="FFFFEB84"/>
        <color rgb="FFF8696B"/>
      </colorScale>
    </cfRule>
  </conditionalFormatting>
  <conditionalFormatting sqref="D19:E19">
    <cfRule type="colorScale" priority="80">
      <colorScale>
        <cfvo type="min"/>
        <cfvo type="percentile" val="50"/>
        <cfvo type="max"/>
        <color rgb="FF63BE7B"/>
        <color rgb="FFFFEB84"/>
        <color rgb="FFF8696B"/>
      </colorScale>
    </cfRule>
  </conditionalFormatting>
  <conditionalFormatting sqref="D20:E20">
    <cfRule type="colorScale" priority="79">
      <colorScale>
        <cfvo type="min"/>
        <cfvo type="percentile" val="50"/>
        <cfvo type="max"/>
        <color rgb="FF63BE7B"/>
        <color rgb="FFFFEB84"/>
        <color rgb="FFF8696B"/>
      </colorScale>
    </cfRule>
  </conditionalFormatting>
  <conditionalFormatting sqref="F2:G2">
    <cfRule type="colorScale" priority="78">
      <colorScale>
        <cfvo type="min"/>
        <cfvo type="percentile" val="50"/>
        <cfvo type="max"/>
        <color rgb="FF63BE7B"/>
        <color rgb="FFFFEB84"/>
        <color rgb="FFF8696B"/>
      </colorScale>
    </cfRule>
  </conditionalFormatting>
  <conditionalFormatting sqref="F3:G3">
    <cfRule type="colorScale" priority="77">
      <colorScale>
        <cfvo type="min"/>
        <cfvo type="percentile" val="50"/>
        <cfvo type="max"/>
        <color rgb="FF63BE7B"/>
        <color rgb="FFFFEB84"/>
        <color rgb="FFF8696B"/>
      </colorScale>
    </cfRule>
  </conditionalFormatting>
  <conditionalFormatting sqref="F4:G4">
    <cfRule type="colorScale" priority="76">
      <colorScale>
        <cfvo type="min"/>
        <cfvo type="percentile" val="50"/>
        <cfvo type="max"/>
        <color rgb="FF63BE7B"/>
        <color rgb="FFFFEB84"/>
        <color rgb="FFF8696B"/>
      </colorScale>
    </cfRule>
  </conditionalFormatting>
  <conditionalFormatting sqref="F5:G5">
    <cfRule type="colorScale" priority="75">
      <colorScale>
        <cfvo type="min"/>
        <cfvo type="percentile" val="50"/>
        <cfvo type="max"/>
        <color rgb="FF63BE7B"/>
        <color rgb="FFFFEB84"/>
        <color rgb="FFF8696B"/>
      </colorScale>
    </cfRule>
  </conditionalFormatting>
  <conditionalFormatting sqref="F6:G6">
    <cfRule type="colorScale" priority="74">
      <colorScale>
        <cfvo type="min"/>
        <cfvo type="percentile" val="50"/>
        <cfvo type="max"/>
        <color rgb="FF63BE7B"/>
        <color rgb="FFFFEB84"/>
        <color rgb="FFF8696B"/>
      </colorScale>
    </cfRule>
  </conditionalFormatting>
  <conditionalFormatting sqref="F7:G7">
    <cfRule type="colorScale" priority="73">
      <colorScale>
        <cfvo type="min"/>
        <cfvo type="percentile" val="50"/>
        <cfvo type="max"/>
        <color rgb="FF63BE7B"/>
        <color rgb="FFFFEB84"/>
        <color rgb="FFF8696B"/>
      </colorScale>
    </cfRule>
  </conditionalFormatting>
  <conditionalFormatting sqref="F8:G8">
    <cfRule type="colorScale" priority="72">
      <colorScale>
        <cfvo type="min"/>
        <cfvo type="percentile" val="50"/>
        <cfvo type="max"/>
        <color rgb="FF63BE7B"/>
        <color rgb="FFFFEB84"/>
        <color rgb="FFF8696B"/>
      </colorScale>
    </cfRule>
  </conditionalFormatting>
  <conditionalFormatting sqref="F9:G9">
    <cfRule type="colorScale" priority="71">
      <colorScale>
        <cfvo type="min"/>
        <cfvo type="percentile" val="50"/>
        <cfvo type="max"/>
        <color rgb="FF63BE7B"/>
        <color rgb="FFFFEB84"/>
        <color rgb="FFF8696B"/>
      </colorScale>
    </cfRule>
  </conditionalFormatting>
  <conditionalFormatting sqref="F10:G10">
    <cfRule type="colorScale" priority="70">
      <colorScale>
        <cfvo type="min"/>
        <cfvo type="percentile" val="50"/>
        <cfvo type="max"/>
        <color rgb="FF63BE7B"/>
        <color rgb="FFFFEB84"/>
        <color rgb="FFF8696B"/>
      </colorScale>
    </cfRule>
  </conditionalFormatting>
  <conditionalFormatting sqref="F11:G11">
    <cfRule type="colorScale" priority="69">
      <colorScale>
        <cfvo type="min"/>
        <cfvo type="percentile" val="50"/>
        <cfvo type="max"/>
        <color rgb="FF63BE7B"/>
        <color rgb="FFFFEB84"/>
        <color rgb="FFF8696B"/>
      </colorScale>
    </cfRule>
  </conditionalFormatting>
  <conditionalFormatting sqref="F12:G12">
    <cfRule type="colorScale" priority="68">
      <colorScale>
        <cfvo type="min"/>
        <cfvo type="percentile" val="50"/>
        <cfvo type="max"/>
        <color rgb="FF63BE7B"/>
        <color rgb="FFFFEB84"/>
        <color rgb="FFF8696B"/>
      </colorScale>
    </cfRule>
  </conditionalFormatting>
  <conditionalFormatting sqref="F13:G13">
    <cfRule type="colorScale" priority="67">
      <colorScale>
        <cfvo type="min"/>
        <cfvo type="percentile" val="50"/>
        <cfvo type="max"/>
        <color rgb="FF63BE7B"/>
        <color rgb="FFFFEB84"/>
        <color rgb="FFF8696B"/>
      </colorScale>
    </cfRule>
  </conditionalFormatting>
  <conditionalFormatting sqref="F14:G14">
    <cfRule type="colorScale" priority="66">
      <colorScale>
        <cfvo type="min"/>
        <cfvo type="percentile" val="50"/>
        <cfvo type="max"/>
        <color rgb="FF63BE7B"/>
        <color rgb="FFFFEB84"/>
        <color rgb="FFF8696B"/>
      </colorScale>
    </cfRule>
  </conditionalFormatting>
  <conditionalFormatting sqref="F15:G15">
    <cfRule type="colorScale" priority="65">
      <colorScale>
        <cfvo type="min"/>
        <cfvo type="percentile" val="50"/>
        <cfvo type="max"/>
        <color rgb="FF63BE7B"/>
        <color rgb="FFFFEB84"/>
        <color rgb="FFF8696B"/>
      </colorScale>
    </cfRule>
  </conditionalFormatting>
  <conditionalFormatting sqref="F16:G16">
    <cfRule type="colorScale" priority="64">
      <colorScale>
        <cfvo type="min"/>
        <cfvo type="percentile" val="50"/>
        <cfvo type="max"/>
        <color rgb="FF63BE7B"/>
        <color rgb="FFFFEB84"/>
        <color rgb="FFF8696B"/>
      </colorScale>
    </cfRule>
  </conditionalFormatting>
  <conditionalFormatting sqref="F17:G17">
    <cfRule type="colorScale" priority="63">
      <colorScale>
        <cfvo type="min"/>
        <cfvo type="percentile" val="50"/>
        <cfvo type="max"/>
        <color rgb="FF63BE7B"/>
        <color rgb="FFFFEB84"/>
        <color rgb="FFF8696B"/>
      </colorScale>
    </cfRule>
  </conditionalFormatting>
  <conditionalFormatting sqref="F18:G18">
    <cfRule type="colorScale" priority="62">
      <colorScale>
        <cfvo type="min"/>
        <cfvo type="percentile" val="50"/>
        <cfvo type="max"/>
        <color rgb="FF63BE7B"/>
        <color rgb="FFFFEB84"/>
        <color rgb="FFF8696B"/>
      </colorScale>
    </cfRule>
  </conditionalFormatting>
  <conditionalFormatting sqref="F19:G19">
    <cfRule type="colorScale" priority="61">
      <colorScale>
        <cfvo type="min"/>
        <cfvo type="percentile" val="50"/>
        <cfvo type="max"/>
        <color rgb="FF63BE7B"/>
        <color rgb="FFFFEB84"/>
        <color rgb="FFF8696B"/>
      </colorScale>
    </cfRule>
  </conditionalFormatting>
  <conditionalFormatting sqref="F20:G20">
    <cfRule type="colorScale" priority="60">
      <colorScale>
        <cfvo type="min"/>
        <cfvo type="percentile" val="50"/>
        <cfvo type="max"/>
        <color rgb="FF63BE7B"/>
        <color rgb="FFFFEB84"/>
        <color rgb="FFF8696B"/>
      </colorScale>
    </cfRule>
  </conditionalFormatting>
  <conditionalFormatting sqref="D37">
    <cfRule type="colorScale" priority="59">
      <colorScale>
        <cfvo type="min"/>
        <cfvo type="percentile" val="50"/>
        <cfvo type="max"/>
        <color rgb="FF63BE7B"/>
        <color rgb="FFFFEB84"/>
        <color rgb="FFF8696B"/>
      </colorScale>
    </cfRule>
  </conditionalFormatting>
  <conditionalFormatting sqref="G37">
    <cfRule type="colorScale" priority="58">
      <colorScale>
        <cfvo type="min"/>
        <cfvo type="percentile" val="50"/>
        <cfvo type="max"/>
        <color rgb="FF63BE7B"/>
        <color rgb="FFFFEB84"/>
        <color rgb="FFF8696B"/>
      </colorScale>
    </cfRule>
  </conditionalFormatting>
  <conditionalFormatting sqref="B55:C55">
    <cfRule type="colorScale" priority="57">
      <colorScale>
        <cfvo type="min"/>
        <cfvo type="percentile" val="50"/>
        <cfvo type="max"/>
        <color rgb="FF63BE7B"/>
        <color rgb="FFFFEB84"/>
        <color rgb="FFF8696B"/>
      </colorScale>
    </cfRule>
  </conditionalFormatting>
  <conditionalFormatting sqref="B56:C56">
    <cfRule type="colorScale" priority="56">
      <colorScale>
        <cfvo type="min"/>
        <cfvo type="percentile" val="50"/>
        <cfvo type="max"/>
        <color rgb="FF63BE7B"/>
        <color rgb="FFFFEB84"/>
        <color rgb="FFF8696B"/>
      </colorScale>
    </cfRule>
  </conditionalFormatting>
  <conditionalFormatting sqref="B57:C57">
    <cfRule type="colorScale" priority="54">
      <colorScale>
        <cfvo type="min"/>
        <cfvo type="percentile" val="50"/>
        <cfvo type="max"/>
        <color rgb="FF63BE7B"/>
        <color rgb="FFFFEB84"/>
        <color rgb="FFF8696B"/>
      </colorScale>
    </cfRule>
  </conditionalFormatting>
  <conditionalFormatting sqref="B58:C58">
    <cfRule type="colorScale" priority="52">
      <colorScale>
        <cfvo type="min"/>
        <cfvo type="percentile" val="50"/>
        <cfvo type="max"/>
        <color rgb="FF63BE7B"/>
        <color rgb="FFFFEB84"/>
        <color rgb="FFF8696B"/>
      </colorScale>
    </cfRule>
  </conditionalFormatting>
  <conditionalFormatting sqref="B59:C59">
    <cfRule type="colorScale" priority="51">
      <colorScale>
        <cfvo type="min"/>
        <cfvo type="percentile" val="50"/>
        <cfvo type="max"/>
        <color rgb="FF63BE7B"/>
        <color rgb="FFFFEB84"/>
        <color rgb="FFF8696B"/>
      </colorScale>
    </cfRule>
  </conditionalFormatting>
  <conditionalFormatting sqref="B60:C60">
    <cfRule type="colorScale" priority="50">
      <colorScale>
        <cfvo type="min"/>
        <cfvo type="percentile" val="50"/>
        <cfvo type="max"/>
        <color rgb="FF63BE7B"/>
        <color rgb="FFFFEB84"/>
        <color rgb="FFF8696B"/>
      </colorScale>
    </cfRule>
  </conditionalFormatting>
  <conditionalFormatting sqref="B61:C61">
    <cfRule type="colorScale" priority="49">
      <colorScale>
        <cfvo type="min"/>
        <cfvo type="percentile" val="50"/>
        <cfvo type="max"/>
        <color rgb="FF63BE7B"/>
        <color rgb="FFFFEB84"/>
        <color rgb="FFF8696B"/>
      </colorScale>
    </cfRule>
  </conditionalFormatting>
  <conditionalFormatting sqref="B62:C62">
    <cfRule type="colorScale" priority="48">
      <colorScale>
        <cfvo type="min"/>
        <cfvo type="percentile" val="50"/>
        <cfvo type="max"/>
        <color rgb="FF63BE7B"/>
        <color rgb="FFFFEB84"/>
        <color rgb="FFF8696B"/>
      </colorScale>
    </cfRule>
  </conditionalFormatting>
  <conditionalFormatting sqref="B63:C63">
    <cfRule type="colorScale" priority="47">
      <colorScale>
        <cfvo type="min"/>
        <cfvo type="percentile" val="50"/>
        <cfvo type="max"/>
        <color rgb="FF63BE7B"/>
        <color rgb="FFFFEB84"/>
        <color rgb="FFF8696B"/>
      </colorScale>
    </cfRule>
  </conditionalFormatting>
  <conditionalFormatting sqref="B64:C64">
    <cfRule type="colorScale" priority="46">
      <colorScale>
        <cfvo type="min"/>
        <cfvo type="percentile" val="50"/>
        <cfvo type="max"/>
        <color rgb="FF63BE7B"/>
        <color rgb="FFFFEB84"/>
        <color rgb="FFF8696B"/>
      </colorScale>
    </cfRule>
  </conditionalFormatting>
  <conditionalFormatting sqref="B65:C65">
    <cfRule type="colorScale" priority="45">
      <colorScale>
        <cfvo type="min"/>
        <cfvo type="percentile" val="50"/>
        <cfvo type="max"/>
        <color rgb="FF63BE7B"/>
        <color rgb="FFFFEB84"/>
        <color rgb="FFF8696B"/>
      </colorScale>
    </cfRule>
  </conditionalFormatting>
  <conditionalFormatting sqref="B66:C66">
    <cfRule type="colorScale" priority="44">
      <colorScale>
        <cfvo type="min"/>
        <cfvo type="percentile" val="50"/>
        <cfvo type="max"/>
        <color rgb="FF63BE7B"/>
        <color rgb="FFFFEB84"/>
        <color rgb="FFF8696B"/>
      </colorScale>
    </cfRule>
  </conditionalFormatting>
  <conditionalFormatting sqref="B67:C67">
    <cfRule type="colorScale" priority="43">
      <colorScale>
        <cfvo type="min"/>
        <cfvo type="percentile" val="50"/>
        <cfvo type="max"/>
        <color rgb="FF63BE7B"/>
        <color rgb="FFFFEB84"/>
        <color rgb="FFF8696B"/>
      </colorScale>
    </cfRule>
  </conditionalFormatting>
  <conditionalFormatting sqref="B68:C68">
    <cfRule type="colorScale" priority="42">
      <colorScale>
        <cfvo type="min"/>
        <cfvo type="percentile" val="50"/>
        <cfvo type="max"/>
        <color rgb="FF63BE7B"/>
        <color rgb="FFFFEB84"/>
        <color rgb="FFF8696B"/>
      </colorScale>
    </cfRule>
  </conditionalFormatting>
  <conditionalFormatting sqref="B69:C69">
    <cfRule type="colorScale" priority="41">
      <colorScale>
        <cfvo type="min"/>
        <cfvo type="percentile" val="50"/>
        <cfvo type="max"/>
        <color rgb="FF63BE7B"/>
        <color rgb="FFFFEB84"/>
        <color rgb="FFF8696B"/>
      </colorScale>
    </cfRule>
  </conditionalFormatting>
  <conditionalFormatting sqref="B70:C70">
    <cfRule type="colorScale" priority="40">
      <colorScale>
        <cfvo type="min"/>
        <cfvo type="percentile" val="50"/>
        <cfvo type="max"/>
        <color rgb="FF63BE7B"/>
        <color rgb="FFFFEB84"/>
        <color rgb="FFF8696B"/>
      </colorScale>
    </cfRule>
  </conditionalFormatting>
  <conditionalFormatting sqref="B71:C71">
    <cfRule type="colorScale" priority="39">
      <colorScale>
        <cfvo type="min"/>
        <cfvo type="percentile" val="50"/>
        <cfvo type="max"/>
        <color rgb="FF63BE7B"/>
        <color rgb="FFFFEB84"/>
        <color rgb="FFF8696B"/>
      </colorScale>
    </cfRule>
  </conditionalFormatting>
  <conditionalFormatting sqref="D55:E55">
    <cfRule type="colorScale" priority="38">
      <colorScale>
        <cfvo type="min"/>
        <cfvo type="percentile" val="50"/>
        <cfvo type="max"/>
        <color rgb="FF63BE7B"/>
        <color rgb="FFFFEB84"/>
        <color rgb="FFF8696B"/>
      </colorScale>
    </cfRule>
  </conditionalFormatting>
  <conditionalFormatting sqref="D56:E56">
    <cfRule type="colorScale" priority="37">
      <colorScale>
        <cfvo type="min"/>
        <cfvo type="percentile" val="50"/>
        <cfvo type="max"/>
        <color rgb="FF63BE7B"/>
        <color rgb="FFFFEB84"/>
        <color rgb="FFF8696B"/>
      </colorScale>
    </cfRule>
  </conditionalFormatting>
  <conditionalFormatting sqref="D57:E57">
    <cfRule type="colorScale" priority="35">
      <colorScale>
        <cfvo type="min"/>
        <cfvo type="percentile" val="50"/>
        <cfvo type="max"/>
        <color rgb="FF63BE7B"/>
        <color rgb="FFFFEB84"/>
        <color rgb="FFF8696B"/>
      </colorScale>
    </cfRule>
  </conditionalFormatting>
  <conditionalFormatting sqref="D58:E58">
    <cfRule type="colorScale" priority="33">
      <colorScale>
        <cfvo type="min"/>
        <cfvo type="percentile" val="50"/>
        <cfvo type="max"/>
        <color rgb="FF63BE7B"/>
        <color rgb="FFFFEB84"/>
        <color rgb="FFF8696B"/>
      </colorScale>
    </cfRule>
  </conditionalFormatting>
  <conditionalFormatting sqref="D59:E59">
    <cfRule type="colorScale" priority="32">
      <colorScale>
        <cfvo type="min"/>
        <cfvo type="percentile" val="50"/>
        <cfvo type="max"/>
        <color rgb="FF63BE7B"/>
        <color rgb="FFFFEB84"/>
        <color rgb="FFF8696B"/>
      </colorScale>
    </cfRule>
  </conditionalFormatting>
  <conditionalFormatting sqref="D60:E60">
    <cfRule type="colorScale" priority="31">
      <colorScale>
        <cfvo type="min"/>
        <cfvo type="percentile" val="50"/>
        <cfvo type="max"/>
        <color rgb="FF63BE7B"/>
        <color rgb="FFFFEB84"/>
        <color rgb="FFF8696B"/>
      </colorScale>
    </cfRule>
  </conditionalFormatting>
  <conditionalFormatting sqref="D61:E61">
    <cfRule type="colorScale" priority="30">
      <colorScale>
        <cfvo type="min"/>
        <cfvo type="percentile" val="50"/>
        <cfvo type="max"/>
        <color rgb="FF63BE7B"/>
        <color rgb="FFFFEB84"/>
        <color rgb="FFF8696B"/>
      </colorScale>
    </cfRule>
  </conditionalFormatting>
  <conditionalFormatting sqref="D62:E62">
    <cfRule type="colorScale" priority="29">
      <colorScale>
        <cfvo type="min"/>
        <cfvo type="percentile" val="50"/>
        <cfvo type="max"/>
        <color rgb="FF63BE7B"/>
        <color rgb="FFFFEB84"/>
        <color rgb="FFF8696B"/>
      </colorScale>
    </cfRule>
  </conditionalFormatting>
  <conditionalFormatting sqref="D63:E63">
    <cfRule type="colorScale" priority="28">
      <colorScale>
        <cfvo type="min"/>
        <cfvo type="percentile" val="50"/>
        <cfvo type="max"/>
        <color rgb="FF63BE7B"/>
        <color rgb="FFFFEB84"/>
        <color rgb="FFF8696B"/>
      </colorScale>
    </cfRule>
  </conditionalFormatting>
  <conditionalFormatting sqref="D64:E64">
    <cfRule type="colorScale" priority="27">
      <colorScale>
        <cfvo type="min"/>
        <cfvo type="percentile" val="50"/>
        <cfvo type="max"/>
        <color rgb="FF63BE7B"/>
        <color rgb="FFFFEB84"/>
        <color rgb="FFF8696B"/>
      </colorScale>
    </cfRule>
  </conditionalFormatting>
  <conditionalFormatting sqref="D65:E65">
    <cfRule type="colorScale" priority="26">
      <colorScale>
        <cfvo type="min"/>
        <cfvo type="percentile" val="50"/>
        <cfvo type="max"/>
        <color rgb="FF63BE7B"/>
        <color rgb="FFFFEB84"/>
        <color rgb="FFF8696B"/>
      </colorScale>
    </cfRule>
  </conditionalFormatting>
  <conditionalFormatting sqref="D66:E66">
    <cfRule type="colorScale" priority="25">
      <colorScale>
        <cfvo type="min"/>
        <cfvo type="percentile" val="50"/>
        <cfvo type="max"/>
        <color rgb="FF63BE7B"/>
        <color rgb="FFFFEB84"/>
        <color rgb="FFF8696B"/>
      </colorScale>
    </cfRule>
  </conditionalFormatting>
  <conditionalFormatting sqref="D67:E67">
    <cfRule type="colorScale" priority="24">
      <colorScale>
        <cfvo type="min"/>
        <cfvo type="percentile" val="50"/>
        <cfvo type="max"/>
        <color rgb="FF63BE7B"/>
        <color rgb="FFFFEB84"/>
        <color rgb="FFF8696B"/>
      </colorScale>
    </cfRule>
  </conditionalFormatting>
  <conditionalFormatting sqref="D68:E68">
    <cfRule type="colorScale" priority="23">
      <colorScale>
        <cfvo type="min"/>
        <cfvo type="percentile" val="50"/>
        <cfvo type="max"/>
        <color rgb="FF63BE7B"/>
        <color rgb="FFFFEB84"/>
        <color rgb="FFF8696B"/>
      </colorScale>
    </cfRule>
  </conditionalFormatting>
  <conditionalFormatting sqref="D69:E69">
    <cfRule type="colorScale" priority="22">
      <colorScale>
        <cfvo type="min"/>
        <cfvo type="percentile" val="50"/>
        <cfvo type="max"/>
        <color rgb="FF63BE7B"/>
        <color rgb="FFFFEB84"/>
        <color rgb="FFF8696B"/>
      </colorScale>
    </cfRule>
  </conditionalFormatting>
  <conditionalFormatting sqref="D70:E70">
    <cfRule type="colorScale" priority="21">
      <colorScale>
        <cfvo type="min"/>
        <cfvo type="percentile" val="50"/>
        <cfvo type="max"/>
        <color rgb="FF63BE7B"/>
        <color rgb="FFFFEB84"/>
        <color rgb="FFF8696B"/>
      </colorScale>
    </cfRule>
  </conditionalFormatting>
  <conditionalFormatting sqref="D71:E71">
    <cfRule type="colorScale" priority="20">
      <colorScale>
        <cfvo type="min"/>
        <cfvo type="percentile" val="50"/>
        <cfvo type="max"/>
        <color rgb="FF63BE7B"/>
        <color rgb="FFFFEB84"/>
        <color rgb="FFF8696B"/>
      </colorScale>
    </cfRule>
  </conditionalFormatting>
  <conditionalFormatting sqref="F55:G55">
    <cfRule type="colorScale" priority="19">
      <colorScale>
        <cfvo type="min"/>
        <cfvo type="percentile" val="50"/>
        <cfvo type="max"/>
        <color rgb="FF63BE7B"/>
        <color rgb="FFFFEB84"/>
        <color rgb="FFF8696B"/>
      </colorScale>
    </cfRule>
  </conditionalFormatting>
  <conditionalFormatting sqref="F56:G56">
    <cfRule type="colorScale" priority="18">
      <colorScale>
        <cfvo type="min"/>
        <cfvo type="percentile" val="50"/>
        <cfvo type="max"/>
        <color rgb="FF63BE7B"/>
        <color rgb="FFFFEB84"/>
        <color rgb="FFF8696B"/>
      </colorScale>
    </cfRule>
  </conditionalFormatting>
  <conditionalFormatting sqref="F57:G57">
    <cfRule type="colorScale" priority="16">
      <colorScale>
        <cfvo type="min"/>
        <cfvo type="percentile" val="50"/>
        <cfvo type="max"/>
        <color rgb="FF63BE7B"/>
        <color rgb="FFFFEB84"/>
        <color rgb="FFF8696B"/>
      </colorScale>
    </cfRule>
  </conditionalFormatting>
  <conditionalFormatting sqref="F58:G58">
    <cfRule type="colorScale" priority="14">
      <colorScale>
        <cfvo type="min"/>
        <cfvo type="percentile" val="50"/>
        <cfvo type="max"/>
        <color rgb="FF63BE7B"/>
        <color rgb="FFFFEB84"/>
        <color rgb="FFF8696B"/>
      </colorScale>
    </cfRule>
  </conditionalFormatting>
  <conditionalFormatting sqref="F59:G59">
    <cfRule type="colorScale" priority="13">
      <colorScale>
        <cfvo type="min"/>
        <cfvo type="percentile" val="50"/>
        <cfvo type="max"/>
        <color rgb="FF63BE7B"/>
        <color rgb="FFFFEB84"/>
        <color rgb="FFF8696B"/>
      </colorScale>
    </cfRule>
  </conditionalFormatting>
  <conditionalFormatting sqref="F60:G60">
    <cfRule type="colorScale" priority="12">
      <colorScale>
        <cfvo type="min"/>
        <cfvo type="percentile" val="50"/>
        <cfvo type="max"/>
        <color rgb="FF63BE7B"/>
        <color rgb="FFFFEB84"/>
        <color rgb="FFF8696B"/>
      </colorScale>
    </cfRule>
  </conditionalFormatting>
  <conditionalFormatting sqref="F61:G61">
    <cfRule type="colorScale" priority="11">
      <colorScale>
        <cfvo type="min"/>
        <cfvo type="percentile" val="50"/>
        <cfvo type="max"/>
        <color rgb="FF63BE7B"/>
        <color rgb="FFFFEB84"/>
        <color rgb="FFF8696B"/>
      </colorScale>
    </cfRule>
  </conditionalFormatting>
  <conditionalFormatting sqref="F62:G62">
    <cfRule type="colorScale" priority="10">
      <colorScale>
        <cfvo type="min"/>
        <cfvo type="percentile" val="50"/>
        <cfvo type="max"/>
        <color rgb="FF63BE7B"/>
        <color rgb="FFFFEB84"/>
        <color rgb="FFF8696B"/>
      </colorScale>
    </cfRule>
  </conditionalFormatting>
  <conditionalFormatting sqref="F63:G63">
    <cfRule type="colorScale" priority="9">
      <colorScale>
        <cfvo type="min"/>
        <cfvo type="percentile" val="50"/>
        <cfvo type="max"/>
        <color rgb="FF63BE7B"/>
        <color rgb="FFFFEB84"/>
        <color rgb="FFF8696B"/>
      </colorScale>
    </cfRule>
  </conditionalFormatting>
  <conditionalFormatting sqref="F64:G64">
    <cfRule type="colorScale" priority="8">
      <colorScale>
        <cfvo type="min"/>
        <cfvo type="percentile" val="50"/>
        <cfvo type="max"/>
        <color rgb="FF63BE7B"/>
        <color rgb="FFFFEB84"/>
        <color rgb="FFF8696B"/>
      </colorScale>
    </cfRule>
  </conditionalFormatting>
  <conditionalFormatting sqref="F65:G65">
    <cfRule type="colorScale" priority="7">
      <colorScale>
        <cfvo type="min"/>
        <cfvo type="percentile" val="50"/>
        <cfvo type="max"/>
        <color rgb="FF63BE7B"/>
        <color rgb="FFFFEB84"/>
        <color rgb="FFF8696B"/>
      </colorScale>
    </cfRule>
  </conditionalFormatting>
  <conditionalFormatting sqref="F66:G66">
    <cfRule type="colorScale" priority="6">
      <colorScale>
        <cfvo type="min"/>
        <cfvo type="percentile" val="50"/>
        <cfvo type="max"/>
        <color rgb="FF63BE7B"/>
        <color rgb="FFFFEB84"/>
        <color rgb="FFF8696B"/>
      </colorScale>
    </cfRule>
  </conditionalFormatting>
  <conditionalFormatting sqref="F67:G67">
    <cfRule type="colorScale" priority="5">
      <colorScale>
        <cfvo type="min"/>
        <cfvo type="percentile" val="50"/>
        <cfvo type="max"/>
        <color rgb="FF63BE7B"/>
        <color rgb="FFFFEB84"/>
        <color rgb="FFF8696B"/>
      </colorScale>
    </cfRule>
  </conditionalFormatting>
  <conditionalFormatting sqref="F68:G68">
    <cfRule type="colorScale" priority="4">
      <colorScale>
        <cfvo type="min"/>
        <cfvo type="percentile" val="50"/>
        <cfvo type="max"/>
        <color rgb="FF63BE7B"/>
        <color rgb="FFFFEB84"/>
        <color rgb="FFF8696B"/>
      </colorScale>
    </cfRule>
  </conditionalFormatting>
  <conditionalFormatting sqref="F69:G69">
    <cfRule type="colorScale" priority="3">
      <colorScale>
        <cfvo type="min"/>
        <cfvo type="percentile" val="50"/>
        <cfvo type="max"/>
        <color rgb="FF63BE7B"/>
        <color rgb="FFFFEB84"/>
        <color rgb="FFF8696B"/>
      </colorScale>
    </cfRule>
  </conditionalFormatting>
  <conditionalFormatting sqref="F70:G70">
    <cfRule type="colorScale" priority="2">
      <colorScale>
        <cfvo type="min"/>
        <cfvo type="percentile" val="50"/>
        <cfvo type="max"/>
        <color rgb="FF63BE7B"/>
        <color rgb="FFFFEB84"/>
        <color rgb="FFF8696B"/>
      </colorScale>
    </cfRule>
  </conditionalFormatting>
  <conditionalFormatting sqref="F71:G71">
    <cfRule type="colorScale" priority="1">
      <colorScale>
        <cfvo type="min"/>
        <cfvo type="percentile" val="50"/>
        <cfvo type="max"/>
        <color rgb="FF63BE7B"/>
        <color rgb="FFFFEB84"/>
        <color rgb="FFF8696B"/>
      </colorScale>
    </cfRule>
  </conditionalFormatting>
  <dataValidations count="2">
    <dataValidation type="list" allowBlank="1" showInputMessage="1" showErrorMessage="1" sqref="K3" xr:uid="{4646D760-04E6-4AFD-BCE0-47A04A701CFB}">
      <formula1>#REF!</formula1>
    </dataValidation>
    <dataValidation type="list" allowBlank="1" showInputMessage="1" showErrorMessage="1" sqref="K2" xr:uid="{4C62B785-A8EE-4E93-8548-E68939B72FA8}">
      <formula1>$A$2:$A$20</formula1>
    </dataValidation>
  </dataValidations>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1C00F-CC3E-4932-A2EE-E008AE132973}">
  <dimension ref="A1:U33"/>
  <sheetViews>
    <sheetView topLeftCell="A16" zoomScale="98" zoomScaleNormal="85" workbookViewId="0">
      <selection activeCell="A22" sqref="A22"/>
    </sheetView>
  </sheetViews>
  <sheetFormatPr baseColWidth="10" defaultColWidth="11.44140625" defaultRowHeight="14.4" x14ac:dyDescent="0.3"/>
  <cols>
    <col min="1" max="1" width="92.88671875" style="185" bestFit="1" customWidth="1"/>
    <col min="2" max="5" width="14.33203125" style="185" bestFit="1" customWidth="1"/>
    <col min="6" max="6" width="13.5546875" style="185" bestFit="1" customWidth="1"/>
    <col min="7" max="7" width="14.33203125" style="185" bestFit="1" customWidth="1"/>
    <col min="8" max="10" width="11.44140625" style="185"/>
    <col min="11" max="16" width="12.6640625" style="185" bestFit="1" customWidth="1"/>
    <col min="17" max="18" width="11.44140625" style="185"/>
    <col min="19" max="21" width="12.6640625" style="185" bestFit="1" customWidth="1"/>
    <col min="22" max="16384" width="11.44140625" style="185"/>
  </cols>
  <sheetData>
    <row r="1" spans="1:21" x14ac:dyDescent="0.3">
      <c r="A1" s="185" t="s">
        <v>890</v>
      </c>
      <c r="B1" s="185" t="s">
        <v>891</v>
      </c>
      <c r="C1" s="185" t="s">
        <v>892</v>
      </c>
      <c r="D1" s="185" t="s">
        <v>893</v>
      </c>
      <c r="E1" s="185" t="s">
        <v>894</v>
      </c>
      <c r="F1" s="185" t="s">
        <v>895</v>
      </c>
      <c r="G1" s="185" t="s">
        <v>896</v>
      </c>
      <c r="H1" s="185" t="s">
        <v>897</v>
      </c>
      <c r="K1" s="185" t="s">
        <v>891</v>
      </c>
      <c r="L1" s="185" t="s">
        <v>892</v>
      </c>
      <c r="M1" s="185" t="s">
        <v>893</v>
      </c>
      <c r="N1" s="185" t="s">
        <v>894</v>
      </c>
      <c r="O1" s="185" t="s">
        <v>895</v>
      </c>
      <c r="P1" s="185" t="s">
        <v>896</v>
      </c>
      <c r="S1" s="185" t="s">
        <v>891</v>
      </c>
      <c r="T1" s="185" t="s">
        <v>893</v>
      </c>
      <c r="U1" s="185" t="s">
        <v>895</v>
      </c>
    </row>
    <row r="2" spans="1:21" x14ac:dyDescent="0.3">
      <c r="A2" s="185" t="s">
        <v>901</v>
      </c>
      <c r="B2" s="191">
        <v>0.36758684246339962</v>
      </c>
      <c r="C2" s="191">
        <v>0.1168327080943838</v>
      </c>
      <c r="D2" s="191">
        <v>0.23594971018456831</v>
      </c>
      <c r="E2" s="191">
        <v>0.12691269901632601</v>
      </c>
      <c r="F2" s="191">
        <v>0.62962520140015188</v>
      </c>
      <c r="G2" s="191">
        <v>0.179253051838421</v>
      </c>
      <c r="H2" s="185" t="s">
        <v>902</v>
      </c>
      <c r="J2" s="185" t="s">
        <v>901</v>
      </c>
      <c r="K2" s="192">
        <f>(
VLOOKUP($J2,$A$2:$G$18,HLOOKUP(K$1,$B$1:$G$19,19,FALSE)+1,FALSE)
-
VLOOKUP($J2,'Ergebnisse Basisszenario'!$A$1:$H$21,HLOOKUP(K$1,'Ergebnisse Basisszenario'!$B$1:$G$21,21,FALSE)+1,FALSE)
)
/
VLOOKUP($J2,'Ergebnisse Basisszenario'!$A$1:$H$21,HLOOKUP(K$1,'Ergebnisse Basisszenario'!$B$1:$G$21,21,FALSE)+1,FALSE)</f>
        <v>-1.5811406399277465E-2</v>
      </c>
      <c r="L2" s="192">
        <f>(
VLOOKUP($J2,$A$2:$G$18,HLOOKUP(L$1,$B$1:$G$19,19,FALSE)+1,FALSE)
-
VLOOKUP($J2,'Ergebnisse Basisszenario'!$A$1:$H$21,HLOOKUP(L$1,'Ergebnisse Basisszenario'!$B$1:$G$21,21,FALSE)+1,FALSE)
)
/
VLOOKUP($J2,'Ergebnisse Basisszenario'!$A$1:$H$21,HLOOKUP(L$1,'Ergebnisse Basisszenario'!$B$1:$G$21,21,FALSE)+1,FALSE)</f>
        <v>-8.2986151996383359E-2</v>
      </c>
      <c r="M2" s="192">
        <f>(
VLOOKUP($J2,$A$2:$G$18,HLOOKUP(M$1,$B$1:$G$19,19,FALSE)+1,FALSE)
-
VLOOKUP($J2,'Ergebnisse Basisszenario'!$A$1:$H$21,HLOOKUP(M$1,'Ergebnisse Basisszenario'!$B$1:$G$21,21,FALSE)+1,FALSE)
)
/
VLOOKUP($J2,'Ergebnisse Basisszenario'!$A$1:$H$21,HLOOKUP(M$1,'Ergebnisse Basisszenario'!$B$1:$G$21,21,FALSE)+1,FALSE)</f>
        <v>-2.3739302455856162E-2</v>
      </c>
      <c r="N2" s="192">
        <f>(
VLOOKUP($J2,$A$2:$G$18,HLOOKUP(N$1,$B$1:$G$19,19,FALSE)+1,FALSE)
-
VLOOKUP($J2,'Ergebnisse Basisszenario'!$A$1:$H$21,HLOOKUP(N$1,'Ergebnisse Basisszenario'!$B$1:$G$21,21,FALSE)+1,FALSE)
)
/
VLOOKUP($J2,'Ergebnisse Basisszenario'!$A$1:$H$21,HLOOKUP(N$1,'Ergebnisse Basisszenario'!$B$1:$G$21,21,FALSE)+1,FALSE)</f>
        <v>-8.4710687179414809E-2</v>
      </c>
      <c r="O2" s="192">
        <f>(
VLOOKUP($J2,$A$2:$G$18,HLOOKUP(O$1,$B$1:$G$19,19,FALSE)+1,FALSE)
-
VLOOKUP($J2,'Ergebnisse Basisszenario'!$A$1:$H$21,HLOOKUP(O$1,'Ergebnisse Basisszenario'!$B$1:$G$21,21,FALSE)+1,FALSE)
)
/
VLOOKUP($J2,'Ergebnisse Basisszenario'!$A$1:$H$21,HLOOKUP(O$1,'Ergebnisse Basisszenario'!$B$1:$G$21,21,FALSE)+1,FALSE)</f>
        <v>-4.8977699453972359E-2</v>
      </c>
      <c r="P2" s="192">
        <f>(
VLOOKUP($J2,$A$2:$G$18,HLOOKUP(P$1,$B$1:$G$19,19,FALSE)+1,FALSE)
-
VLOOKUP($J2,'Ergebnisse Basisszenario'!$A$1:$H$21,HLOOKUP(P$1,'Ergebnisse Basisszenario'!$B$1:$G$21,21,FALSE)+1,FALSE)
)
/
VLOOKUP($J2,'Ergebnisse Basisszenario'!$A$1:$H$21,HLOOKUP(P$1,'Ergebnisse Basisszenario'!$B$1:$G$21,21,FALSE)+1,FALSE)</f>
        <v>-9.4229740885823782E-2</v>
      </c>
      <c r="R2" s="185" t="s">
        <v>901</v>
      </c>
      <c r="S2" s="185" t="b">
        <f>IF(
IF((VLOOKUP($R2,$A$2:$G$18,HLOOKUP(S$1,$B$1:$G$19,19,FALSE)+1,FALSE)-VLOOKUP($R2,$A$2:$G$18,HLOOKUP(S$1,$B$1:$G$19,19,FALSE)+2,FALSE))&lt;0,TRUE,FALSE)
=
IF((VLOOKUP($R2,'Ergebnisse Basisszenario'!$A$2:$G$20,HLOOKUP(S$1,'Ergebnisse Basisszenario'!$B$1:$G$21,21,FALSE)+1,FALSE)-VLOOKUP($R2,'Ergebnisse Basisszenario'!$A$2:$G$20,HLOOKUP(S$1,'Ergebnisse Basisszenario'!$B$1:$G$21,21,FALSE)+2,FALSE))&lt;0,TRUE,FALSE),
TRUE,FALSE)</f>
        <v>1</v>
      </c>
      <c r="T2" s="185" t="b">
        <f>IF(
IF((VLOOKUP($R2,$A$2:$G$18,HLOOKUP(T$1,$B$1:$G$19,19,FALSE)+1,FALSE)-VLOOKUP($R2,$A$2:$G$18,HLOOKUP(T$1,$B$1:$G$19,19,FALSE)+2,FALSE))&lt;0,TRUE,FALSE)
=
IF((VLOOKUP($R2,'Ergebnisse Basisszenario'!$A$2:$G$20,HLOOKUP(T$1,'Ergebnisse Basisszenario'!$B$1:$G$21,21,FALSE)+1,FALSE)-VLOOKUP($R2,'Ergebnisse Basisszenario'!$A$2:$G$20,HLOOKUP(T$1,'Ergebnisse Basisszenario'!$B$1:$G$21,21,FALSE)+2,FALSE))&lt;0,TRUE,FALSE),
TRUE,FALSE)</f>
        <v>1</v>
      </c>
      <c r="U2" s="185" t="b">
        <f>IF(
IF((VLOOKUP($R2,$A$2:$G$18,HLOOKUP(U$1,$B$1:$G$19,19,FALSE)+1,FALSE)-VLOOKUP($R2,$A$2:$G$18,HLOOKUP(U$1,$B$1:$G$19,19,FALSE)+2,FALSE))&lt;0,TRUE,FALSE)
=
IF((VLOOKUP($R2,'Ergebnisse Basisszenario'!$A$2:$G$20,HLOOKUP(U$1,'Ergebnisse Basisszenario'!$B$1:$G$21,21,FALSE)+1,FALSE)-VLOOKUP($R2,'Ergebnisse Basisszenario'!$A$2:$G$20,HLOOKUP(U$1,'Ergebnisse Basisszenario'!$B$1:$G$21,21,FALSE)+2,FALSE))&lt;0,TRUE,FALSE),
TRUE,FALSE)</f>
        <v>1</v>
      </c>
    </row>
    <row r="3" spans="1:21" x14ac:dyDescent="0.3">
      <c r="A3" s="185" t="s">
        <v>903</v>
      </c>
      <c r="B3" s="191">
        <v>89.79197378437344</v>
      </c>
      <c r="C3" s="191">
        <v>43.151367758651453</v>
      </c>
      <c r="D3" s="191">
        <v>96.455591961911907</v>
      </c>
      <c r="E3" s="191">
        <v>51.401237404902261</v>
      </c>
      <c r="F3" s="191">
        <v>192.9922448039157</v>
      </c>
      <c r="G3" s="191">
        <v>72.110644819203316</v>
      </c>
      <c r="H3" s="185" t="s">
        <v>904</v>
      </c>
      <c r="J3" s="185" t="s">
        <v>903</v>
      </c>
      <c r="K3" s="192">
        <f>(
VLOOKUP($J3,$A$2:$G$18,HLOOKUP(K$1,$B$1:$G$19,19,FALSE)+1,FALSE)
-
VLOOKUP($J3,'Ergebnisse Basisszenario'!$A$1:$H$21,HLOOKUP(K$1,'Ergebnisse Basisszenario'!$B$1:$G$21,21,FALSE)+1,FALSE)
)
/
VLOOKUP($J3,'Ergebnisse Basisszenario'!$A$1:$H$21,HLOOKUP(K$1,'Ergebnisse Basisszenario'!$B$1:$G$21,21,FALSE)+1,FALSE)</f>
        <v>-4.9097236772450321E-2</v>
      </c>
      <c r="L3" s="192">
        <f>(
VLOOKUP($J3,$A$2:$G$18,HLOOKUP(L$1,$B$1:$G$19,19,FALSE)+1,FALSE)
-
VLOOKUP($J3,'Ergebnisse Basisszenario'!$A$1:$H$21,HLOOKUP(L$1,'Ergebnisse Basisszenario'!$B$1:$G$21,21,FALSE)+1,FALSE)
)
/
VLOOKUP($J3,'Ergebnisse Basisszenario'!$A$1:$H$21,HLOOKUP(L$1,'Ergebnisse Basisszenario'!$B$1:$G$21,21,FALSE)+1,FALSE)</f>
        <v>-0.1613243649459212</v>
      </c>
      <c r="M3" s="192">
        <f>(
VLOOKUP($J3,$A$2:$G$18,HLOOKUP(M$1,$B$1:$G$19,19,FALSE)+1,FALSE)
-
VLOOKUP($J3,'Ergebnisse Basisszenario'!$A$1:$H$21,HLOOKUP(M$1,'Ergebnisse Basisszenario'!$B$1:$G$21,21,FALSE)+1,FALSE)
)
/
VLOOKUP($J3,'Ergebnisse Basisszenario'!$A$1:$H$21,HLOOKUP(M$1,'Ergebnisse Basisszenario'!$B$1:$G$21,21,FALSE)+1,FALSE)</f>
        <v>-4.4614807043392102E-2</v>
      </c>
      <c r="N3" s="192">
        <f>(
VLOOKUP($J3,$A$2:$G$18,HLOOKUP(N$1,$B$1:$G$19,19,FALSE)+1,FALSE)
-
VLOOKUP($J3,'Ergebnisse Basisszenario'!$A$1:$H$21,HLOOKUP(N$1,'Ergebnisse Basisszenario'!$B$1:$G$21,21,FALSE)+1,FALSE)
)
/
VLOOKUP($J3,'Ergebnisse Basisszenario'!$A$1:$H$21,HLOOKUP(N$1,'Ergebnisse Basisszenario'!$B$1:$G$21,21,FALSE)+1,FALSE)</f>
        <v>-0.15210981998989584</v>
      </c>
      <c r="O3" s="192">
        <f>(
VLOOKUP($J3,$A$2:$G$18,HLOOKUP(O$1,$B$1:$G$19,19,FALSE)+1,FALSE)
-
VLOOKUP($J3,'Ergebnisse Basisszenario'!$A$1:$H$21,HLOOKUP(O$1,'Ergebnisse Basisszenario'!$B$1:$G$21,21,FALSE)+1,FALSE)
)
/
VLOOKUP($J3,'Ergebnisse Basisszenario'!$A$1:$H$21,HLOOKUP(O$1,'Ergebnisse Basisszenario'!$B$1:$G$21,21,FALSE)+1,FALSE)</f>
        <v>-0.11653244496765175</v>
      </c>
      <c r="P3" s="192">
        <f>(
VLOOKUP($J3,$A$2:$G$18,HLOOKUP(P$1,$B$1:$G$19,19,FALSE)+1,FALSE)
-
VLOOKUP($J3,'Ergebnisse Basisszenario'!$A$1:$H$21,HLOOKUP(P$1,'Ergebnisse Basisszenario'!$B$1:$G$21,21,FALSE)+1,FALSE)
)
/
VLOOKUP($J3,'Ergebnisse Basisszenario'!$A$1:$H$21,HLOOKUP(P$1,'Ergebnisse Basisszenario'!$B$1:$G$21,21,FALSE)+1,FALSE)</f>
        <v>-0.16876011760602838</v>
      </c>
      <c r="R3" s="185" t="s">
        <v>903</v>
      </c>
      <c r="S3" s="185" t="b">
        <f>IF(
IF((VLOOKUP($R3,$A$2:$G$18,HLOOKUP(S$1,$B$1:$G$19,19,FALSE)+1,FALSE)-VLOOKUP($R3,$A$2:$G$18,HLOOKUP(S$1,$B$1:$G$19,19,FALSE)+2,FALSE))&lt;0,TRUE,FALSE)
=
IF((VLOOKUP($R3,'Ergebnisse Basisszenario'!$A$2:$G$20,HLOOKUP(S$1,'Ergebnisse Basisszenario'!$B$1:$G$21,21,FALSE)+1,FALSE)-VLOOKUP($R3,'Ergebnisse Basisszenario'!$A$2:$G$20,HLOOKUP(S$1,'Ergebnisse Basisszenario'!$B$1:$G$21,21,FALSE)+2,FALSE))&lt;0,TRUE,FALSE),
TRUE,FALSE)</f>
        <v>1</v>
      </c>
      <c r="T3" s="185" t="b">
        <f>IF(
IF((VLOOKUP($R3,$A$2:$G$18,HLOOKUP(T$1,$B$1:$G$19,19,FALSE)+1,FALSE)-VLOOKUP($R3,$A$2:$G$18,HLOOKUP(T$1,$B$1:$G$19,19,FALSE)+2,FALSE))&lt;0,TRUE,FALSE)
=
IF((VLOOKUP($R3,'Ergebnisse Basisszenario'!$A$2:$G$20,HLOOKUP(T$1,'Ergebnisse Basisszenario'!$B$1:$G$21,21,FALSE)+1,FALSE)-VLOOKUP($R3,'Ergebnisse Basisszenario'!$A$2:$G$20,HLOOKUP(T$1,'Ergebnisse Basisszenario'!$B$1:$G$21,21,FALSE)+2,FALSE))&lt;0,TRUE,FALSE),
TRUE,FALSE)</f>
        <v>1</v>
      </c>
      <c r="U3" s="185" t="b">
        <f>IF(
IF((VLOOKUP($R3,$A$2:$G$18,HLOOKUP(U$1,$B$1:$G$19,19,FALSE)+1,FALSE)-VLOOKUP($R3,$A$2:$G$18,HLOOKUP(U$1,$B$1:$G$19,19,FALSE)+2,FALSE))&lt;0,TRUE,FALSE)
=
IF((VLOOKUP($R3,'Ergebnisse Basisszenario'!$A$2:$G$20,HLOOKUP(U$1,'Ergebnisse Basisszenario'!$B$1:$G$21,21,FALSE)+1,FALSE)-VLOOKUP($R3,'Ergebnisse Basisszenario'!$A$2:$G$20,HLOOKUP(U$1,'Ergebnisse Basisszenario'!$B$1:$G$21,21,FALSE)+2,FALSE))&lt;0,TRUE,FALSE),
TRUE,FALSE)</f>
        <v>1</v>
      </c>
    </row>
    <row r="4" spans="1:21" x14ac:dyDescent="0.3">
      <c r="A4" s="185" t="s">
        <v>906</v>
      </c>
      <c r="B4" s="191">
        <v>87.324357640571748</v>
      </c>
      <c r="C4" s="191">
        <v>42.942549777206892</v>
      </c>
      <c r="D4" s="191">
        <v>96.229870252048883</v>
      </c>
      <c r="E4" s="191">
        <v>51.174489473276907</v>
      </c>
      <c r="F4" s="191">
        <v>191.01985524052159</v>
      </c>
      <c r="G4" s="191">
        <v>71.766373483478418</v>
      </c>
      <c r="H4" s="185" t="s">
        <v>904</v>
      </c>
      <c r="J4" s="185" t="s">
        <v>906</v>
      </c>
      <c r="K4" s="192">
        <f>(
VLOOKUP($J4,$A$2:$G$18,HLOOKUP(K$1,$B$1:$G$19,19,FALSE)+1,FALSE)
-
VLOOKUP($J4,'Ergebnisse Basisszenario'!$A$1:$H$21,HLOOKUP(K$1,'Ergebnisse Basisszenario'!$B$1:$G$21,21,FALSE)+1,FALSE)
)
/
VLOOKUP($J4,'Ergebnisse Basisszenario'!$A$1:$H$21,HLOOKUP(K$1,'Ergebnisse Basisszenario'!$B$1:$G$21,21,FALSE)+1,FALSE)</f>
        <v>-4.9617261041753485E-2</v>
      </c>
      <c r="L4" s="192">
        <f>(
VLOOKUP($J4,$A$2:$G$18,HLOOKUP(L$1,$B$1:$G$19,19,FALSE)+1,FALSE)
-
VLOOKUP($J4,'Ergebnisse Basisszenario'!$A$1:$H$21,HLOOKUP(L$1,'Ergebnisse Basisszenario'!$B$1:$G$21,21,FALSE)+1,FALSE)
)
/
VLOOKUP($J4,'Ergebnisse Basisszenario'!$A$1:$H$21,HLOOKUP(L$1,'Ergebnisse Basisszenario'!$B$1:$G$21,21,FALSE)+1,FALSE)</f>
        <v>-0.15971647362229929</v>
      </c>
      <c r="M4" s="192">
        <f>(
VLOOKUP($J4,$A$2:$G$18,HLOOKUP(M$1,$B$1:$G$19,19,FALSE)+1,FALSE)
-
VLOOKUP($J4,'Ergebnisse Basisszenario'!$A$1:$H$21,HLOOKUP(M$1,'Ergebnisse Basisszenario'!$B$1:$G$21,21,FALSE)+1,FALSE)
)
/
VLOOKUP($J4,'Ergebnisse Basisszenario'!$A$1:$H$21,HLOOKUP(M$1,'Ergebnisse Basisszenario'!$B$1:$G$21,21,FALSE)+1,FALSE)</f>
        <v>-4.400333452876834E-2</v>
      </c>
      <c r="N4" s="192">
        <f>(
VLOOKUP($J4,$A$2:$G$18,HLOOKUP(N$1,$B$1:$G$19,19,FALSE)+1,FALSE)
-
VLOOKUP($J4,'Ergebnisse Basisszenario'!$A$1:$H$21,HLOOKUP(N$1,'Ergebnisse Basisszenario'!$B$1:$G$21,21,FALSE)+1,FALSE)
)
/
VLOOKUP($J4,'Ergebnisse Basisszenario'!$A$1:$H$21,HLOOKUP(N$1,'Ergebnisse Basisszenario'!$B$1:$G$21,21,FALSE)+1,FALSE)</f>
        <v>-0.15052230773752678</v>
      </c>
      <c r="O4" s="192">
        <f>(
VLOOKUP($J4,$A$2:$G$18,HLOOKUP(O$1,$B$1:$G$19,19,FALSE)+1,FALSE)
-
VLOOKUP($J4,'Ergebnisse Basisszenario'!$A$1:$H$21,HLOOKUP(O$1,'Ergebnisse Basisszenario'!$B$1:$G$21,21,FALSE)+1,FALSE)
)
/
VLOOKUP($J4,'Ergebnisse Basisszenario'!$A$1:$H$21,HLOOKUP(O$1,'Ergebnisse Basisszenario'!$B$1:$G$21,21,FALSE)+1,FALSE)</f>
        <v>-0.11586384519472208</v>
      </c>
      <c r="P4" s="192">
        <f>(
VLOOKUP($J4,$A$2:$G$18,HLOOKUP(P$1,$B$1:$G$19,19,FALSE)+1,FALSE)
-
VLOOKUP($J4,'Ergebnisse Basisszenario'!$A$1:$H$21,HLOOKUP(P$1,'Ergebnisse Basisszenario'!$B$1:$G$21,21,FALSE)+1,FALSE)
)
/
VLOOKUP($J4,'Ergebnisse Basisszenario'!$A$1:$H$21,HLOOKUP(P$1,'Ergebnisse Basisszenario'!$B$1:$G$21,21,FALSE)+1,FALSE)</f>
        <v>-0.16708379286584746</v>
      </c>
      <c r="R4" s="185" t="s">
        <v>906</v>
      </c>
      <c r="S4" s="185" t="b">
        <f>IF(
IF((VLOOKUP($R4,$A$2:$G$18,HLOOKUP(S$1,$B$1:$G$19,19,FALSE)+1,FALSE)-VLOOKUP($R4,$A$2:$G$18,HLOOKUP(S$1,$B$1:$G$19,19,FALSE)+2,FALSE))&lt;0,TRUE,FALSE)
=
IF((VLOOKUP($R4,'Ergebnisse Basisszenario'!$A$2:$G$20,HLOOKUP(S$1,'Ergebnisse Basisszenario'!$B$1:$G$21,21,FALSE)+1,FALSE)-VLOOKUP($R4,'Ergebnisse Basisszenario'!$A$2:$G$20,HLOOKUP(S$1,'Ergebnisse Basisszenario'!$B$1:$G$21,21,FALSE)+2,FALSE))&lt;0,TRUE,FALSE),
TRUE,FALSE)</f>
        <v>1</v>
      </c>
      <c r="T4" s="185" t="b">
        <f>IF(
IF((VLOOKUP($R4,$A$2:$G$18,HLOOKUP(T$1,$B$1:$G$19,19,FALSE)+1,FALSE)-VLOOKUP($R4,$A$2:$G$18,HLOOKUP(T$1,$B$1:$G$19,19,FALSE)+2,FALSE))&lt;0,TRUE,FALSE)
=
IF((VLOOKUP($R4,'Ergebnisse Basisszenario'!$A$2:$G$20,HLOOKUP(T$1,'Ergebnisse Basisszenario'!$B$1:$G$21,21,FALSE)+1,FALSE)-VLOOKUP($R4,'Ergebnisse Basisszenario'!$A$2:$G$20,HLOOKUP(T$1,'Ergebnisse Basisszenario'!$B$1:$G$21,21,FALSE)+2,FALSE))&lt;0,TRUE,FALSE),
TRUE,FALSE)</f>
        <v>1</v>
      </c>
      <c r="U4" s="185" t="b">
        <f>IF(
IF((VLOOKUP($R4,$A$2:$G$18,HLOOKUP(U$1,$B$1:$G$19,19,FALSE)+1,FALSE)-VLOOKUP($R4,$A$2:$G$18,HLOOKUP(U$1,$B$1:$G$19,19,FALSE)+2,FALSE))&lt;0,TRUE,FALSE)
=
IF((VLOOKUP($R4,'Ergebnisse Basisszenario'!$A$2:$G$20,HLOOKUP(U$1,'Ergebnisse Basisszenario'!$B$1:$G$21,21,FALSE)+1,FALSE)-VLOOKUP($R4,'Ergebnisse Basisszenario'!$A$2:$G$20,HLOOKUP(U$1,'Ergebnisse Basisszenario'!$B$1:$G$21,21,FALSE)+2,FALSE))&lt;0,TRUE,FALSE),
TRUE,FALSE)</f>
        <v>1</v>
      </c>
    </row>
    <row r="5" spans="1:21" x14ac:dyDescent="0.3">
      <c r="A5" s="185" t="s">
        <v>908</v>
      </c>
      <c r="B5" s="191">
        <v>3550.8649155646049</v>
      </c>
      <c r="C5" s="191">
        <v>513.29480567462701</v>
      </c>
      <c r="D5" s="191">
        <v>793.88567170614488</v>
      </c>
      <c r="E5" s="191">
        <v>526.1952465297029</v>
      </c>
      <c r="F5" s="191">
        <v>3540.4742060387339</v>
      </c>
      <c r="G5" s="191">
        <v>755.86333367364966</v>
      </c>
      <c r="H5" s="185" t="s">
        <v>909</v>
      </c>
      <c r="J5" s="185" t="s">
        <v>908</v>
      </c>
      <c r="K5" s="192">
        <f>(
VLOOKUP($J5,$A$2:$G$18,HLOOKUP(K$1,$B$1:$G$19,19,FALSE)+1,FALSE)
-
VLOOKUP($J5,'Ergebnisse Basisszenario'!$A$1:$H$21,HLOOKUP(K$1,'Ergebnisse Basisszenario'!$B$1:$G$21,21,FALSE)+1,FALSE)
)
/
VLOOKUP($J5,'Ergebnisse Basisszenario'!$A$1:$H$21,HLOOKUP(K$1,'Ergebnisse Basisszenario'!$B$1:$G$21,21,FALSE)+1,FALSE)</f>
        <v>-2.2306577612907215E-3</v>
      </c>
      <c r="L5" s="192">
        <f>(
VLOOKUP($J5,$A$2:$G$18,HLOOKUP(L$1,$B$1:$G$19,19,FALSE)+1,FALSE)
-
VLOOKUP($J5,'Ergebnisse Basisszenario'!$A$1:$H$21,HLOOKUP(L$1,'Ergebnisse Basisszenario'!$B$1:$G$21,21,FALSE)+1,FALSE)
)
/
VLOOKUP($J5,'Ergebnisse Basisszenario'!$A$1:$H$21,HLOOKUP(L$1,'Ergebnisse Basisszenario'!$B$1:$G$21,21,FALSE)+1,FALSE)</f>
        <v>-2.6943268307370812E-2</v>
      </c>
      <c r="M5" s="192">
        <f>(
VLOOKUP($J5,$A$2:$G$18,HLOOKUP(M$1,$B$1:$G$19,19,FALSE)+1,FALSE)
-
VLOOKUP($J5,'Ergebnisse Basisszenario'!$A$1:$H$21,HLOOKUP(M$1,'Ergebnisse Basisszenario'!$B$1:$G$21,21,FALSE)+1,FALSE)
)
/
VLOOKUP($J5,'Ergebnisse Basisszenario'!$A$1:$H$21,HLOOKUP(M$1,'Ergebnisse Basisszenario'!$B$1:$G$21,21,FALSE)+1,FALSE)</f>
        <v>-9.6216505031799116E-3</v>
      </c>
      <c r="N5" s="192">
        <f>(
VLOOKUP($J5,$A$2:$G$18,HLOOKUP(N$1,$B$1:$G$19,19,FALSE)+1,FALSE)
-
VLOOKUP($J5,'Ergebnisse Basisszenario'!$A$1:$H$21,HLOOKUP(N$1,'Ergebnisse Basisszenario'!$B$1:$G$21,21,FALSE)+1,FALSE)
)
/
VLOOKUP($J5,'Ergebnisse Basisszenario'!$A$1:$H$21,HLOOKUP(N$1,'Ergebnisse Basisszenario'!$B$1:$G$21,21,FALSE)+1,FALSE)</f>
        <v>-2.9132824883968875E-2</v>
      </c>
      <c r="O5" s="192">
        <f>(
VLOOKUP($J5,$A$2:$G$18,HLOOKUP(O$1,$B$1:$G$19,19,FALSE)+1,FALSE)
-
VLOOKUP($J5,'Ergebnisse Basisszenario'!$A$1:$H$21,HLOOKUP(O$1,'Ergebnisse Basisszenario'!$B$1:$G$21,21,FALSE)+1,FALSE)
)
/
VLOOKUP($J5,'Ergebnisse Basisszenario'!$A$1:$H$21,HLOOKUP(O$1,'Ergebnisse Basisszenario'!$B$1:$G$21,21,FALSE)+1,FALSE)</f>
        <v>-1.2161830865127178E-2</v>
      </c>
      <c r="P5" s="192">
        <f>(
VLOOKUP($J5,$A$2:$G$18,HLOOKUP(P$1,$B$1:$G$19,19,FALSE)+1,FALSE)
-
VLOOKUP($J5,'Ergebnisse Basisszenario'!$A$1:$H$21,HLOOKUP(P$1,'Ergebnisse Basisszenario'!$B$1:$G$21,21,FALSE)+1,FALSE)
)
/
VLOOKUP($J5,'Ergebnisse Basisszenario'!$A$1:$H$21,HLOOKUP(P$1,'Ergebnisse Basisszenario'!$B$1:$G$21,21,FALSE)+1,FALSE)</f>
        <v>-3.2100249316952233E-2</v>
      </c>
      <c r="R5" s="185" t="s">
        <v>908</v>
      </c>
      <c r="S5" s="185" t="b">
        <f>IF(
IF((VLOOKUP($R5,$A$2:$G$18,HLOOKUP(S$1,$B$1:$G$19,19,FALSE)+1,FALSE)-VLOOKUP($R5,$A$2:$G$18,HLOOKUP(S$1,$B$1:$G$19,19,FALSE)+2,FALSE))&lt;0,TRUE,FALSE)
=
IF((VLOOKUP($R5,'Ergebnisse Basisszenario'!$A$2:$G$20,HLOOKUP(S$1,'Ergebnisse Basisszenario'!$B$1:$G$21,21,FALSE)+1,FALSE)-VLOOKUP($R5,'Ergebnisse Basisszenario'!$A$2:$G$20,HLOOKUP(S$1,'Ergebnisse Basisszenario'!$B$1:$G$21,21,FALSE)+2,FALSE))&lt;0,TRUE,FALSE),
TRUE,FALSE)</f>
        <v>1</v>
      </c>
      <c r="T5" s="185" t="b">
        <f>IF(
IF((VLOOKUP($R5,$A$2:$G$18,HLOOKUP(T$1,$B$1:$G$19,19,FALSE)+1,FALSE)-VLOOKUP($R5,$A$2:$G$18,HLOOKUP(T$1,$B$1:$G$19,19,FALSE)+2,FALSE))&lt;0,TRUE,FALSE)
=
IF((VLOOKUP($R5,'Ergebnisse Basisszenario'!$A$2:$G$20,HLOOKUP(T$1,'Ergebnisse Basisszenario'!$B$1:$G$21,21,FALSE)+1,FALSE)-VLOOKUP($R5,'Ergebnisse Basisszenario'!$A$2:$G$20,HLOOKUP(T$1,'Ergebnisse Basisszenario'!$B$1:$G$21,21,FALSE)+2,FALSE))&lt;0,TRUE,FALSE),
TRUE,FALSE)</f>
        <v>1</v>
      </c>
      <c r="U5" s="185" t="b">
        <f>IF(
IF((VLOOKUP($R5,$A$2:$G$18,HLOOKUP(U$1,$B$1:$G$19,19,FALSE)+1,FALSE)-VLOOKUP($R5,$A$2:$G$18,HLOOKUP(U$1,$B$1:$G$19,19,FALSE)+2,FALSE))&lt;0,TRUE,FALSE)
=
IF((VLOOKUP($R5,'Ergebnisse Basisszenario'!$A$2:$G$20,HLOOKUP(U$1,'Ergebnisse Basisszenario'!$B$1:$G$21,21,FALSE)+1,FALSE)-VLOOKUP($R5,'Ergebnisse Basisszenario'!$A$2:$G$20,HLOOKUP(U$1,'Ergebnisse Basisszenario'!$B$1:$G$21,21,FALSE)+2,FALSE))&lt;0,TRUE,FALSE),
TRUE,FALSE)</f>
        <v>1</v>
      </c>
    </row>
    <row r="6" spans="1:21" x14ac:dyDescent="0.3">
      <c r="A6" s="185" t="s">
        <v>910</v>
      </c>
      <c r="B6" s="191">
        <v>1118.788606446657</v>
      </c>
      <c r="C6" s="191">
        <v>677.96618430176488</v>
      </c>
      <c r="D6" s="191">
        <v>1373.012578645636</v>
      </c>
      <c r="E6" s="191">
        <v>792.36664616674523</v>
      </c>
      <c r="F6" s="191">
        <v>2763.7451153682791</v>
      </c>
      <c r="G6" s="191">
        <v>1128.207528835547</v>
      </c>
      <c r="H6" s="185" t="s">
        <v>911</v>
      </c>
      <c r="J6" s="185" t="s">
        <v>910</v>
      </c>
      <c r="K6" s="192">
        <f>(
VLOOKUP($J6,$A$2:$G$18,HLOOKUP(K$1,$B$1:$G$19,19,FALSE)+1,FALSE)
-
VLOOKUP($J6,'Ergebnisse Basisszenario'!$A$1:$H$21,HLOOKUP(K$1,'Ergebnisse Basisszenario'!$B$1:$G$21,21,FALSE)+1,FALSE)
)
/
VLOOKUP($J6,'Ergebnisse Basisszenario'!$A$1:$H$21,HLOOKUP(K$1,'Ergebnisse Basisszenario'!$B$1:$G$21,21,FALSE)+1,FALSE)</f>
        <v>-5.5842946677577381E-2</v>
      </c>
      <c r="L6" s="192">
        <f>(
VLOOKUP($J6,$A$2:$G$18,HLOOKUP(L$1,$B$1:$G$19,19,FALSE)+1,FALSE)
-
VLOOKUP($J6,'Ergebnisse Basisszenario'!$A$1:$H$21,HLOOKUP(L$1,'Ergebnisse Basisszenario'!$B$1:$G$21,21,FALSE)+1,FALSE)
)
/
VLOOKUP($J6,'Ergebnisse Basisszenario'!$A$1:$H$21,HLOOKUP(L$1,'Ergebnisse Basisszenario'!$B$1:$G$21,21,FALSE)+1,FALSE)</f>
        <v>-0.14875183173548509</v>
      </c>
      <c r="M6" s="192">
        <f>(
VLOOKUP($J6,$A$2:$G$18,HLOOKUP(M$1,$B$1:$G$19,19,FALSE)+1,FALSE)
-
VLOOKUP($J6,'Ergebnisse Basisszenario'!$A$1:$H$21,HLOOKUP(M$1,'Ergebnisse Basisszenario'!$B$1:$G$21,21,FALSE)+1,FALSE)
)
/
VLOOKUP($J6,'Ergebnisse Basisszenario'!$A$1:$H$21,HLOOKUP(M$1,'Ergebnisse Basisszenario'!$B$1:$G$21,21,FALSE)+1,FALSE)</f>
        <v>-4.4729440092991526E-2</v>
      </c>
      <c r="N6" s="192">
        <f>(
VLOOKUP($J6,$A$2:$G$18,HLOOKUP(N$1,$B$1:$G$19,19,FALSE)+1,FALSE)
-
VLOOKUP($J6,'Ergebnisse Basisszenario'!$A$1:$H$21,HLOOKUP(N$1,'Ergebnisse Basisszenario'!$B$1:$G$21,21,FALSE)+1,FALSE)
)
/
VLOOKUP($J6,'Ergebnisse Basisszenario'!$A$1:$H$21,HLOOKUP(N$1,'Ergebnisse Basisszenario'!$B$1:$G$21,21,FALSE)+1,FALSE)</f>
        <v>-0.14244316314834804</v>
      </c>
      <c r="O6" s="192">
        <f>(
VLOOKUP($J6,$A$2:$G$18,HLOOKUP(O$1,$B$1:$G$19,19,FALSE)+1,FALSE)
-
VLOOKUP($J6,'Ergebnisse Basisszenario'!$A$1:$H$21,HLOOKUP(O$1,'Ergebnisse Basisszenario'!$B$1:$G$21,21,FALSE)+1,FALSE)
)
/
VLOOKUP($J6,'Ergebnisse Basisszenario'!$A$1:$H$21,HLOOKUP(O$1,'Ergebnisse Basisszenario'!$B$1:$G$21,21,FALSE)+1,FALSE)</f>
        <v>-0.11619045950214041</v>
      </c>
      <c r="P6" s="192">
        <f>(
VLOOKUP($J6,$A$2:$G$18,HLOOKUP(P$1,$B$1:$G$19,19,FALSE)+1,FALSE)
-
VLOOKUP($J6,'Ergebnisse Basisszenario'!$A$1:$H$21,HLOOKUP(P$1,'Ergebnisse Basisszenario'!$B$1:$G$21,21,FALSE)+1,FALSE)
)
/
VLOOKUP($J6,'Ergebnisse Basisszenario'!$A$1:$H$21,HLOOKUP(P$1,'Ergebnisse Basisszenario'!$B$1:$G$21,21,FALSE)+1,FALSE)</f>
        <v>-0.15626859508838531</v>
      </c>
      <c r="R6" s="185" t="s">
        <v>910</v>
      </c>
      <c r="S6" s="185" t="b">
        <f>IF(
IF((VLOOKUP($R6,$A$2:$G$18,HLOOKUP(S$1,$B$1:$G$19,19,FALSE)+1,FALSE)-VLOOKUP($R6,$A$2:$G$18,HLOOKUP(S$1,$B$1:$G$19,19,FALSE)+2,FALSE))&lt;0,TRUE,FALSE)
=
IF((VLOOKUP($R6,'Ergebnisse Basisszenario'!$A$2:$G$20,HLOOKUP(S$1,'Ergebnisse Basisszenario'!$B$1:$G$21,21,FALSE)+1,FALSE)-VLOOKUP($R6,'Ergebnisse Basisszenario'!$A$2:$G$20,HLOOKUP(S$1,'Ergebnisse Basisszenario'!$B$1:$G$21,21,FALSE)+2,FALSE))&lt;0,TRUE,FALSE),
TRUE,FALSE)</f>
        <v>1</v>
      </c>
      <c r="T6" s="185" t="b">
        <f>IF(
IF((VLOOKUP($R6,$A$2:$G$18,HLOOKUP(T$1,$B$1:$G$19,19,FALSE)+1,FALSE)-VLOOKUP($R6,$A$2:$G$18,HLOOKUP(T$1,$B$1:$G$19,19,FALSE)+2,FALSE))&lt;0,TRUE,FALSE)
=
IF((VLOOKUP($R6,'Ergebnisse Basisszenario'!$A$2:$G$20,HLOOKUP(T$1,'Ergebnisse Basisszenario'!$B$1:$G$21,21,FALSE)+1,FALSE)-VLOOKUP($R6,'Ergebnisse Basisszenario'!$A$2:$G$20,HLOOKUP(T$1,'Ergebnisse Basisszenario'!$B$1:$G$21,21,FALSE)+2,FALSE))&lt;0,TRUE,FALSE),
TRUE,FALSE)</f>
        <v>1</v>
      </c>
      <c r="U6" s="185" t="b">
        <f>IF(
IF((VLOOKUP($R6,$A$2:$G$18,HLOOKUP(U$1,$B$1:$G$19,19,FALSE)+1,FALSE)-VLOOKUP($R6,$A$2:$G$18,HLOOKUP(U$1,$B$1:$G$19,19,FALSE)+2,FALSE))&lt;0,TRUE,FALSE)
=
IF((VLOOKUP($R6,'Ergebnisse Basisszenario'!$A$2:$G$20,HLOOKUP(U$1,'Ergebnisse Basisszenario'!$B$1:$G$21,21,FALSE)+1,FALSE)-VLOOKUP($R6,'Ergebnisse Basisszenario'!$A$2:$G$20,HLOOKUP(U$1,'Ergebnisse Basisszenario'!$B$1:$G$21,21,FALSE)+2,FALSE))&lt;0,TRUE,FALSE),
TRUE,FALSE)</f>
        <v>1</v>
      </c>
    </row>
    <row r="7" spans="1:21" x14ac:dyDescent="0.3">
      <c r="A7" s="185" t="s">
        <v>912</v>
      </c>
      <c r="B7" s="191">
        <v>3.7036905003984287E-2</v>
      </c>
      <c r="C7" s="191">
        <v>1.9469066372208011E-2</v>
      </c>
      <c r="D7" s="191">
        <v>2.0391631618893898E-2</v>
      </c>
      <c r="E7" s="191">
        <v>2.1565101151145249E-2</v>
      </c>
      <c r="F7" s="191">
        <v>8.4136858138151444E-2</v>
      </c>
      <c r="G7" s="191">
        <v>3.2904401602018157E-2</v>
      </c>
      <c r="H7" s="185" t="s">
        <v>913</v>
      </c>
      <c r="J7" s="185" t="s">
        <v>912</v>
      </c>
      <c r="K7" s="192">
        <f>(
VLOOKUP($J7,$A$2:$G$18,HLOOKUP(K$1,$B$1:$G$19,19,FALSE)+1,FALSE)
-
VLOOKUP($J7,'Ergebnisse Basisszenario'!$A$1:$H$21,HLOOKUP(K$1,'Ergebnisse Basisszenario'!$B$1:$G$21,21,FALSE)+1,FALSE)
)
/
VLOOKUP($J7,'Ergebnisse Basisszenario'!$A$1:$H$21,HLOOKUP(K$1,'Ergebnisse Basisszenario'!$B$1:$G$21,21,FALSE)+1,FALSE)</f>
        <v>-0.17220564117957035</v>
      </c>
      <c r="L7" s="192">
        <f>(
VLOOKUP($J7,$A$2:$G$18,HLOOKUP(L$1,$B$1:$G$19,19,FALSE)+1,FALSE)
-
VLOOKUP($J7,'Ergebnisse Basisszenario'!$A$1:$H$21,HLOOKUP(L$1,'Ergebnisse Basisszenario'!$B$1:$G$21,21,FALSE)+1,FALSE)
)
/
VLOOKUP($J7,'Ergebnisse Basisszenario'!$A$1:$H$21,HLOOKUP(L$1,'Ergebnisse Basisszenario'!$B$1:$G$21,21,FALSE)+1,FALSE)</f>
        <v>-0.41470056286739854</v>
      </c>
      <c r="M7" s="192">
        <f>(
VLOOKUP($J7,$A$2:$G$18,HLOOKUP(M$1,$B$1:$G$19,19,FALSE)+1,FALSE)
-
VLOOKUP($J7,'Ergebnisse Basisszenario'!$A$1:$H$21,HLOOKUP(M$1,'Ergebnisse Basisszenario'!$B$1:$G$21,21,FALSE)+1,FALSE)
)
/
VLOOKUP($J7,'Ergebnisse Basisszenario'!$A$1:$H$21,HLOOKUP(M$1,'Ergebnisse Basisszenario'!$B$1:$G$21,21,FALSE)+1,FALSE)</f>
        <v>-0.26852131363654569</v>
      </c>
      <c r="N7" s="192">
        <f>(
VLOOKUP($J7,$A$2:$G$18,HLOOKUP(N$1,$B$1:$G$19,19,FALSE)+1,FALSE)
-
VLOOKUP($J7,'Ergebnisse Basisszenario'!$A$1:$H$21,HLOOKUP(N$1,'Ergebnisse Basisszenario'!$B$1:$G$21,21,FALSE)+1,FALSE)
)
/
VLOOKUP($J7,'Ergebnisse Basisszenario'!$A$1:$H$21,HLOOKUP(N$1,'Ergebnisse Basisszenario'!$B$1:$G$21,21,FALSE)+1,FALSE)</f>
        <v>-0.41541855347129353</v>
      </c>
      <c r="O7" s="192">
        <f>(
VLOOKUP($J7,$A$2:$G$18,HLOOKUP(O$1,$B$1:$G$19,19,FALSE)+1,FALSE)
-
VLOOKUP($J7,'Ergebnisse Basisszenario'!$A$1:$H$21,HLOOKUP(O$1,'Ergebnisse Basisszenario'!$B$1:$G$21,21,FALSE)+1,FALSE)
)
/
VLOOKUP($J7,'Ergebnisse Basisszenario'!$A$1:$H$21,HLOOKUP(O$1,'Ergebnisse Basisszenario'!$B$1:$G$21,21,FALSE)+1,FALSE)</f>
        <v>-0.33458350342774484</v>
      </c>
      <c r="P7" s="192">
        <f>(
VLOOKUP($J7,$A$2:$G$18,HLOOKUP(P$1,$B$1:$G$19,19,FALSE)+1,FALSE)
-
VLOOKUP($J7,'Ergebnisse Basisszenario'!$A$1:$H$21,HLOOKUP(P$1,'Ergebnisse Basisszenario'!$B$1:$G$21,21,FALSE)+1,FALSE)
)
/
VLOOKUP($J7,'Ergebnisse Basisszenario'!$A$1:$H$21,HLOOKUP(P$1,'Ergebnisse Basisszenario'!$B$1:$G$21,21,FALSE)+1,FALSE)</f>
        <v>-0.42509503268968007</v>
      </c>
      <c r="R7" s="185" t="s">
        <v>912</v>
      </c>
      <c r="S7" s="185" t="b">
        <f>IF(
IF((VLOOKUP($R7,$A$2:$G$18,HLOOKUP(S$1,$B$1:$G$19,19,FALSE)+1,FALSE)-VLOOKUP($R7,$A$2:$G$18,HLOOKUP(S$1,$B$1:$G$19,19,FALSE)+2,FALSE))&lt;0,TRUE,FALSE)
=
IF((VLOOKUP($R7,'Ergebnisse Basisszenario'!$A$2:$G$20,HLOOKUP(S$1,'Ergebnisse Basisszenario'!$B$1:$G$21,21,FALSE)+1,FALSE)-VLOOKUP($R7,'Ergebnisse Basisszenario'!$A$2:$G$20,HLOOKUP(S$1,'Ergebnisse Basisszenario'!$B$1:$G$21,21,FALSE)+2,FALSE))&lt;0,TRUE,FALSE),
TRUE,FALSE)</f>
        <v>1</v>
      </c>
      <c r="T7" s="185" t="b">
        <f>IF(
IF((VLOOKUP($R7,$A$2:$G$18,HLOOKUP(T$1,$B$1:$G$19,19,FALSE)+1,FALSE)-VLOOKUP($R7,$A$2:$G$18,HLOOKUP(T$1,$B$1:$G$19,19,FALSE)+2,FALSE))&lt;0,TRUE,FALSE)
=
IF((VLOOKUP($R7,'Ergebnisse Basisszenario'!$A$2:$G$20,HLOOKUP(T$1,'Ergebnisse Basisszenario'!$B$1:$G$21,21,FALSE)+1,FALSE)-VLOOKUP($R7,'Ergebnisse Basisszenario'!$A$2:$G$20,HLOOKUP(T$1,'Ergebnisse Basisszenario'!$B$1:$G$21,21,FALSE)+2,FALSE))&lt;0,TRUE,FALSE),
TRUE,FALSE)</f>
        <v>1</v>
      </c>
      <c r="U7" s="185" t="b">
        <f>IF(
IF((VLOOKUP($R7,$A$2:$G$18,HLOOKUP(U$1,$B$1:$G$19,19,FALSE)+1,FALSE)-VLOOKUP($R7,$A$2:$G$18,HLOOKUP(U$1,$B$1:$G$19,19,FALSE)+2,FALSE))&lt;0,TRUE,FALSE)
=
IF((VLOOKUP($R7,'Ergebnisse Basisszenario'!$A$2:$G$20,HLOOKUP(U$1,'Ergebnisse Basisszenario'!$B$1:$G$21,21,FALSE)+1,FALSE)-VLOOKUP($R7,'Ergebnisse Basisszenario'!$A$2:$G$20,HLOOKUP(U$1,'Ergebnisse Basisszenario'!$B$1:$G$21,21,FALSE)+2,FALSE))&lt;0,TRUE,FALSE),
TRUE,FALSE)</f>
        <v>1</v>
      </c>
    </row>
    <row r="8" spans="1:21" x14ac:dyDescent="0.3">
      <c r="A8" s="185" t="s">
        <v>914</v>
      </c>
      <c r="B8" s="191">
        <v>9.4287128942518603E-2</v>
      </c>
      <c r="C8" s="191">
        <v>2.661326884779483E-2</v>
      </c>
      <c r="D8" s="191">
        <v>4.8360369653253098E-2</v>
      </c>
      <c r="E8" s="191">
        <v>2.8838347625932639E-2</v>
      </c>
      <c r="F8" s="191">
        <v>0.1582581932066324</v>
      </c>
      <c r="G8" s="191">
        <v>4.0918623868466418E-2</v>
      </c>
      <c r="H8" s="185" t="s">
        <v>915</v>
      </c>
      <c r="J8" s="185" t="s">
        <v>914</v>
      </c>
      <c r="K8" s="192">
        <f>(
VLOOKUP($J8,$A$2:$G$18,HLOOKUP(K$1,$B$1:$G$19,19,FALSE)+1,FALSE)
-
VLOOKUP($J8,'Ergebnisse Basisszenario'!$A$1:$H$21,HLOOKUP(K$1,'Ergebnisse Basisszenario'!$B$1:$G$21,21,FALSE)+1,FALSE)
)
/
VLOOKUP($J8,'Ergebnisse Basisszenario'!$A$1:$H$21,HLOOKUP(K$1,'Ergebnisse Basisszenario'!$B$1:$G$21,21,FALSE)+1,FALSE)</f>
        <v>-2.933251824105676E-2</v>
      </c>
      <c r="L8" s="192">
        <f>(
VLOOKUP($J8,$A$2:$G$18,HLOOKUP(L$1,$B$1:$G$19,19,FALSE)+1,FALSE)
-
VLOOKUP($J8,'Ergebnisse Basisszenario'!$A$1:$H$21,HLOOKUP(L$1,'Ergebnisse Basisszenario'!$B$1:$G$21,21,FALSE)+1,FALSE)
)
/
VLOOKUP($J8,'Ergebnisse Basisszenario'!$A$1:$H$21,HLOOKUP(L$1,'Ergebnisse Basisszenario'!$B$1:$G$21,21,FALSE)+1,FALSE)</f>
        <v>-0.16084802259962228</v>
      </c>
      <c r="M8" s="192">
        <f>(
VLOOKUP($J8,$A$2:$G$18,HLOOKUP(M$1,$B$1:$G$19,19,FALSE)+1,FALSE)
-
VLOOKUP($J8,'Ergebnisse Basisszenario'!$A$1:$H$21,HLOOKUP(M$1,'Ergebnisse Basisszenario'!$B$1:$G$21,21,FALSE)+1,FALSE)
)
/
VLOOKUP($J8,'Ergebnisse Basisszenario'!$A$1:$H$21,HLOOKUP(M$1,'Ergebnisse Basisszenario'!$B$1:$G$21,21,FALSE)+1,FALSE)</f>
        <v>-5.4142327801407604E-2</v>
      </c>
      <c r="N8" s="192">
        <f>(
VLOOKUP($J8,$A$2:$G$18,HLOOKUP(N$1,$B$1:$G$19,19,FALSE)+1,FALSE)
-
VLOOKUP($J8,'Ergebnisse Basisszenario'!$A$1:$H$21,HLOOKUP(N$1,'Ergebnisse Basisszenario'!$B$1:$G$21,21,FALSE)+1,FALSE)
)
/
VLOOKUP($J8,'Ergebnisse Basisszenario'!$A$1:$H$21,HLOOKUP(N$1,'Ergebnisse Basisszenario'!$B$1:$G$21,21,FALSE)+1,FALSE)</f>
        <v>-0.16423883528422475</v>
      </c>
      <c r="O8" s="192">
        <f>(
VLOOKUP($J8,$A$2:$G$18,HLOOKUP(O$1,$B$1:$G$19,19,FALSE)+1,FALSE)
-
VLOOKUP($J8,'Ergebnisse Basisszenario'!$A$1:$H$21,HLOOKUP(O$1,'Ergebnisse Basisszenario'!$B$1:$G$21,21,FALSE)+1,FALSE)
)
/
VLOOKUP($J8,'Ergebnisse Basisszenario'!$A$1:$H$21,HLOOKUP(O$1,'Ergebnisse Basisszenario'!$B$1:$G$21,21,FALSE)+1,FALSE)</f>
        <v>-8.9962594694952006E-2</v>
      </c>
      <c r="P8" s="192">
        <f>(
VLOOKUP($J8,$A$2:$G$18,HLOOKUP(P$1,$B$1:$G$19,19,FALSE)+1,FALSE)
-
VLOOKUP($J8,'Ergebnisse Basisszenario'!$A$1:$H$21,HLOOKUP(P$1,'Ergebnisse Basisszenario'!$B$1:$G$21,21,FALSE)+1,FALSE)
)
/
VLOOKUP($J8,'Ergebnisse Basisszenario'!$A$1:$H$21,HLOOKUP(P$1,'Ergebnisse Basisszenario'!$B$1:$G$21,21,FALSE)+1,FALSE)</f>
        <v>-0.18025026531125679</v>
      </c>
      <c r="R8" s="185" t="s">
        <v>914</v>
      </c>
      <c r="S8" s="185" t="b">
        <f>IF(
IF((VLOOKUP($R8,$A$2:$G$18,HLOOKUP(S$1,$B$1:$G$19,19,FALSE)+1,FALSE)-VLOOKUP($R8,$A$2:$G$18,HLOOKUP(S$1,$B$1:$G$19,19,FALSE)+2,FALSE))&lt;0,TRUE,FALSE)
=
IF((VLOOKUP($R8,'Ergebnisse Basisszenario'!$A$2:$G$20,HLOOKUP(S$1,'Ergebnisse Basisszenario'!$B$1:$G$21,21,FALSE)+1,FALSE)-VLOOKUP($R8,'Ergebnisse Basisszenario'!$A$2:$G$20,HLOOKUP(S$1,'Ergebnisse Basisszenario'!$B$1:$G$21,21,FALSE)+2,FALSE))&lt;0,TRUE,FALSE),
TRUE,FALSE)</f>
        <v>1</v>
      </c>
      <c r="T8" s="185" t="b">
        <f>IF(
IF((VLOOKUP($R8,$A$2:$G$18,HLOOKUP(T$1,$B$1:$G$19,19,FALSE)+1,FALSE)-VLOOKUP($R8,$A$2:$G$18,HLOOKUP(T$1,$B$1:$G$19,19,FALSE)+2,FALSE))&lt;0,TRUE,FALSE)
=
IF((VLOOKUP($R8,'Ergebnisse Basisszenario'!$A$2:$G$20,HLOOKUP(T$1,'Ergebnisse Basisszenario'!$B$1:$G$21,21,FALSE)+1,FALSE)-VLOOKUP($R8,'Ergebnisse Basisszenario'!$A$2:$G$20,HLOOKUP(T$1,'Ergebnisse Basisszenario'!$B$1:$G$21,21,FALSE)+2,FALSE))&lt;0,TRUE,FALSE),
TRUE,FALSE)</f>
        <v>1</v>
      </c>
      <c r="U8" s="185" t="b">
        <f>IF(
IF((VLOOKUP($R8,$A$2:$G$18,HLOOKUP(U$1,$B$1:$G$19,19,FALSE)+1,FALSE)-VLOOKUP($R8,$A$2:$G$18,HLOOKUP(U$1,$B$1:$G$19,19,FALSE)+2,FALSE))&lt;0,TRUE,FALSE)
=
IF((VLOOKUP($R8,'Ergebnisse Basisszenario'!$A$2:$G$20,HLOOKUP(U$1,'Ergebnisse Basisszenario'!$B$1:$G$21,21,FALSE)+1,FALSE)-VLOOKUP($R8,'Ergebnisse Basisszenario'!$A$2:$G$20,HLOOKUP(U$1,'Ergebnisse Basisszenario'!$B$1:$G$21,21,FALSE)+2,FALSE))&lt;0,TRUE,FALSE),
TRUE,FALSE)</f>
        <v>1</v>
      </c>
    </row>
    <row r="9" spans="1:21" x14ac:dyDescent="0.3">
      <c r="A9" s="185" t="s">
        <v>916</v>
      </c>
      <c r="B9" s="191">
        <v>0.86967109606917881</v>
      </c>
      <c r="C9" s="191">
        <v>0.25108704371767659</v>
      </c>
      <c r="D9" s="191">
        <v>0.48464343183893721</v>
      </c>
      <c r="E9" s="191">
        <v>0.26622560059165368</v>
      </c>
      <c r="F9" s="191">
        <v>1.4812158484872531</v>
      </c>
      <c r="G9" s="191">
        <v>0.38170034914648998</v>
      </c>
      <c r="H9" s="185" t="s">
        <v>917</v>
      </c>
      <c r="J9" s="185" t="s">
        <v>916</v>
      </c>
      <c r="K9" s="192">
        <f>(
VLOOKUP($J9,$A$2:$G$18,HLOOKUP(K$1,$B$1:$G$19,19,FALSE)+1,FALSE)
-
VLOOKUP($J9,'Ergebnisse Basisszenario'!$A$1:$H$21,HLOOKUP(K$1,'Ergebnisse Basisszenario'!$B$1:$G$21,21,FALSE)+1,FALSE)
)
/
VLOOKUP($J9,'Ergebnisse Basisszenario'!$A$1:$H$21,HLOOKUP(K$1,'Ergebnisse Basisszenario'!$B$1:$G$21,21,FALSE)+1,FALSE)</f>
        <v>-1.9536242569891341E-2</v>
      </c>
      <c r="L9" s="192">
        <f>(
VLOOKUP($J9,$A$2:$G$18,HLOOKUP(L$1,$B$1:$G$19,19,FALSE)+1,FALSE)
-
VLOOKUP($J9,'Ergebnisse Basisszenario'!$A$1:$H$21,HLOOKUP(L$1,'Ergebnisse Basisszenario'!$B$1:$G$21,21,FALSE)+1,FALSE)
)
/
VLOOKUP($J9,'Ergebnisse Basisszenario'!$A$1:$H$21,HLOOKUP(L$1,'Ergebnisse Basisszenario'!$B$1:$G$21,21,FALSE)+1,FALSE)</f>
        <v>-0.1099728605299683</v>
      </c>
      <c r="M9" s="192">
        <f>(
VLOOKUP($J9,$A$2:$G$18,HLOOKUP(M$1,$B$1:$G$19,19,FALSE)+1,FALSE)
-
VLOOKUP($J9,'Ergebnisse Basisszenario'!$A$1:$H$21,HLOOKUP(M$1,'Ergebnisse Basisszenario'!$B$1:$G$21,21,FALSE)+1,FALSE)
)
/
VLOOKUP($J9,'Ergebnisse Basisszenario'!$A$1:$H$21,HLOOKUP(M$1,'Ergebnisse Basisszenario'!$B$1:$G$21,21,FALSE)+1,FALSE)</f>
        <v>-3.3572295351193E-2</v>
      </c>
      <c r="N9" s="192">
        <f>(
VLOOKUP($J9,$A$2:$G$18,HLOOKUP(N$1,$B$1:$G$19,19,FALSE)+1,FALSE)
-
VLOOKUP($J9,'Ergebnisse Basisszenario'!$A$1:$H$21,HLOOKUP(N$1,'Ergebnisse Basisszenario'!$B$1:$G$21,21,FALSE)+1,FALSE)
)
/
VLOOKUP($J9,'Ergebnisse Basisszenario'!$A$1:$H$21,HLOOKUP(N$1,'Ergebnisse Basisszenario'!$B$1:$G$21,21,FALSE)+1,FALSE)</f>
        <v>-0.11462392112858341</v>
      </c>
      <c r="O9" s="192">
        <f>(
VLOOKUP($J9,$A$2:$G$18,HLOOKUP(O$1,$B$1:$G$19,19,FALSE)+1,FALSE)
-
VLOOKUP($J9,'Ergebnisse Basisszenario'!$A$1:$H$21,HLOOKUP(O$1,'Ergebnisse Basisszenario'!$B$1:$G$21,21,FALSE)+1,FALSE)
)
/
VLOOKUP($J9,'Ergebnisse Basisszenario'!$A$1:$H$21,HLOOKUP(O$1,'Ergebnisse Basisszenario'!$B$1:$G$21,21,FALSE)+1,FALSE)</f>
        <v>-6.0359490369134176E-2</v>
      </c>
      <c r="P9" s="192">
        <f>(
VLOOKUP($J9,$A$2:$G$18,HLOOKUP(P$1,$B$1:$G$19,19,FALSE)+1,FALSE)
-
VLOOKUP($J9,'Ergebnisse Basisszenario'!$A$1:$H$21,HLOOKUP(P$1,'Ergebnisse Basisszenario'!$B$1:$G$21,21,FALSE)+1,FALSE)
)
/
VLOOKUP($J9,'Ergebnisse Basisszenario'!$A$1:$H$21,HLOOKUP(P$1,'Ergebnisse Basisszenario'!$B$1:$G$21,21,FALSE)+1,FALSE)</f>
        <v>-0.12538441355074506</v>
      </c>
      <c r="R9" s="185" t="s">
        <v>916</v>
      </c>
      <c r="S9" s="185" t="b">
        <f>IF(
IF((VLOOKUP($R9,$A$2:$G$18,HLOOKUP(S$1,$B$1:$G$19,19,FALSE)+1,FALSE)-VLOOKUP($R9,$A$2:$G$18,HLOOKUP(S$1,$B$1:$G$19,19,FALSE)+2,FALSE))&lt;0,TRUE,FALSE)
=
IF((VLOOKUP($R9,'Ergebnisse Basisszenario'!$A$2:$G$20,HLOOKUP(S$1,'Ergebnisse Basisszenario'!$B$1:$G$21,21,FALSE)+1,FALSE)-VLOOKUP($R9,'Ergebnisse Basisszenario'!$A$2:$G$20,HLOOKUP(S$1,'Ergebnisse Basisszenario'!$B$1:$G$21,21,FALSE)+2,FALSE))&lt;0,TRUE,FALSE),
TRUE,FALSE)</f>
        <v>1</v>
      </c>
      <c r="T9" s="185" t="b">
        <f>IF(
IF((VLOOKUP($R9,$A$2:$G$18,HLOOKUP(T$1,$B$1:$G$19,19,FALSE)+1,FALSE)-VLOOKUP($R9,$A$2:$G$18,HLOOKUP(T$1,$B$1:$G$19,19,FALSE)+2,FALSE))&lt;0,TRUE,FALSE)
=
IF((VLOOKUP($R9,'Ergebnisse Basisszenario'!$A$2:$G$20,HLOOKUP(T$1,'Ergebnisse Basisszenario'!$B$1:$G$21,21,FALSE)+1,FALSE)-VLOOKUP($R9,'Ergebnisse Basisszenario'!$A$2:$G$20,HLOOKUP(T$1,'Ergebnisse Basisszenario'!$B$1:$G$21,21,FALSE)+2,FALSE))&lt;0,TRUE,FALSE),
TRUE,FALSE)</f>
        <v>1</v>
      </c>
      <c r="U9" s="185" t="b">
        <f>IF(
IF((VLOOKUP($R9,$A$2:$G$18,HLOOKUP(U$1,$B$1:$G$19,19,FALSE)+1,FALSE)-VLOOKUP($R9,$A$2:$G$18,HLOOKUP(U$1,$B$1:$G$19,19,FALSE)+2,FALSE))&lt;0,TRUE,FALSE)
=
IF((VLOOKUP($R9,'Ergebnisse Basisszenario'!$A$2:$G$20,HLOOKUP(U$1,'Ergebnisse Basisszenario'!$B$1:$G$21,21,FALSE)+1,FALSE)-VLOOKUP($R9,'Ergebnisse Basisszenario'!$A$2:$G$20,HLOOKUP(U$1,'Ergebnisse Basisszenario'!$B$1:$G$21,21,FALSE)+2,FALSE))&lt;0,TRUE,FALSE),
TRUE,FALSE)</f>
        <v>1</v>
      </c>
    </row>
    <row r="10" spans="1:21" x14ac:dyDescent="0.3">
      <c r="A10" s="185" t="s">
        <v>918</v>
      </c>
      <c r="B10" s="191">
        <v>4.2510733204595671E-7</v>
      </c>
      <c r="C10" s="191">
        <v>2.4574385388311788E-8</v>
      </c>
      <c r="D10" s="191">
        <v>2.665786702565141E-8</v>
      </c>
      <c r="E10" s="191">
        <v>2.2618463341381479E-8</v>
      </c>
      <c r="F10" s="191">
        <v>4.9770458955142791E-7</v>
      </c>
      <c r="G10" s="191">
        <v>3.4139243379290607E-8</v>
      </c>
      <c r="H10" s="185" t="s">
        <v>919</v>
      </c>
      <c r="J10" s="185" t="s">
        <v>918</v>
      </c>
      <c r="K10" s="192">
        <f>(
VLOOKUP($J10,$A$2:$G$18,HLOOKUP(K$1,$B$1:$G$19,19,FALSE)+1,FALSE)
-
VLOOKUP($J10,'Ergebnisse Basisszenario'!$A$1:$H$21,HLOOKUP(K$1,'Ergebnisse Basisszenario'!$B$1:$G$21,21,FALSE)+1,FALSE)
)
/
VLOOKUP($J10,'Ergebnisse Basisszenario'!$A$1:$H$21,HLOOKUP(K$1,'Ergebnisse Basisszenario'!$B$1:$G$21,21,FALSE)+1,FALSE)</f>
        <v>-8.9292963801584652E-4</v>
      </c>
      <c r="L10" s="192">
        <f>(
VLOOKUP($J10,$A$2:$G$18,HLOOKUP(L$1,$B$1:$G$19,19,FALSE)+1,FALSE)
-
VLOOKUP($J10,'Ergebnisse Basisszenario'!$A$1:$H$21,HLOOKUP(L$1,'Ergebnisse Basisszenario'!$B$1:$G$21,21,FALSE)+1,FALSE)
)
/
VLOOKUP($J10,'Ergebnisse Basisszenario'!$A$1:$H$21,HLOOKUP(L$1,'Ergebnisse Basisszenario'!$B$1:$G$21,21,FALSE)+1,FALSE)</f>
        <v>-2.6934279029117804E-2</v>
      </c>
      <c r="M10" s="192">
        <f>(
VLOOKUP($J10,$A$2:$G$18,HLOOKUP(M$1,$B$1:$G$19,19,FALSE)+1,FALSE)
-
VLOOKUP($J10,'Ergebnisse Basisszenario'!$A$1:$H$21,HLOOKUP(M$1,'Ergebnisse Basisszenario'!$B$1:$G$21,21,FALSE)+1,FALSE)
)
/
VLOOKUP($J10,'Ergebnisse Basisszenario'!$A$1:$H$21,HLOOKUP(M$1,'Ergebnisse Basisszenario'!$B$1:$G$21,21,FALSE)+1,FALSE)</f>
        <v>-1.3657636666916641E-2</v>
      </c>
      <c r="N10" s="192">
        <f>(
VLOOKUP($J10,$A$2:$G$18,HLOOKUP(N$1,$B$1:$G$19,19,FALSE)+1,FALSE)
-
VLOOKUP($J10,'Ergebnisse Basisszenario'!$A$1:$H$21,HLOOKUP(N$1,'Ergebnisse Basisszenario'!$B$1:$G$21,21,FALSE)+1,FALSE)
)
/
VLOOKUP($J10,'Ergebnisse Basisszenario'!$A$1:$H$21,HLOOKUP(N$1,'Ergebnisse Basisszenario'!$B$1:$G$21,21,FALSE)+1,FALSE)</f>
        <v>-3.232964266062386E-2</v>
      </c>
      <c r="O10" s="192">
        <f>(
VLOOKUP($J10,$A$2:$G$18,HLOOKUP(O$1,$B$1:$G$19,19,FALSE)+1,FALSE)
-
VLOOKUP($J10,'Ergebnisse Basisszenario'!$A$1:$H$21,HLOOKUP(O$1,'Ergebnisse Basisszenario'!$B$1:$G$21,21,FALSE)+1,FALSE)
)
/
VLOOKUP($J10,'Ergebnisse Basisszenario'!$A$1:$H$21,HLOOKUP(O$1,'Ergebnisse Basisszenario'!$B$1:$G$21,21,FALSE)+1,FALSE)</f>
        <v>-4.174007889309485E-3</v>
      </c>
      <c r="P10" s="192">
        <f>(
VLOOKUP($J10,$A$2:$G$18,HLOOKUP(P$1,$B$1:$G$19,19,FALSE)+1,FALSE)
-
VLOOKUP($J10,'Ergebnisse Basisszenario'!$A$1:$H$21,HLOOKUP(P$1,'Ergebnisse Basisszenario'!$B$1:$G$21,21,FALSE)+1,FALSE)
)
/
VLOOKUP($J10,'Ergebnisse Basisszenario'!$A$1:$H$21,HLOOKUP(P$1,'Ergebnisse Basisszenario'!$B$1:$G$21,21,FALSE)+1,FALSE)</f>
        <v>-3.3949554664754633E-2</v>
      </c>
      <c r="R10" s="185" t="s">
        <v>918</v>
      </c>
      <c r="S10" s="185" t="b">
        <f>IF(
IF((VLOOKUP($R10,$A$2:$G$18,HLOOKUP(S$1,$B$1:$G$19,19,FALSE)+1,FALSE)-VLOOKUP($R10,$A$2:$G$18,HLOOKUP(S$1,$B$1:$G$19,19,FALSE)+2,FALSE))&lt;0,TRUE,FALSE)
=
IF((VLOOKUP($R10,'Ergebnisse Basisszenario'!$A$2:$G$20,HLOOKUP(S$1,'Ergebnisse Basisszenario'!$B$1:$G$21,21,FALSE)+1,FALSE)-VLOOKUP($R10,'Ergebnisse Basisszenario'!$A$2:$G$20,HLOOKUP(S$1,'Ergebnisse Basisszenario'!$B$1:$G$21,21,FALSE)+2,FALSE))&lt;0,TRUE,FALSE),
TRUE,FALSE)</f>
        <v>1</v>
      </c>
      <c r="T10" s="185" t="b">
        <f>IF(
IF((VLOOKUP($R10,$A$2:$G$18,HLOOKUP(T$1,$B$1:$G$19,19,FALSE)+1,FALSE)-VLOOKUP($R10,$A$2:$G$18,HLOOKUP(T$1,$B$1:$G$19,19,FALSE)+2,FALSE))&lt;0,TRUE,FALSE)
=
IF((VLOOKUP($R10,'Ergebnisse Basisszenario'!$A$2:$G$20,HLOOKUP(T$1,'Ergebnisse Basisszenario'!$B$1:$G$21,21,FALSE)+1,FALSE)-VLOOKUP($R10,'Ergebnisse Basisszenario'!$A$2:$G$20,HLOOKUP(T$1,'Ergebnisse Basisszenario'!$B$1:$G$21,21,FALSE)+2,FALSE))&lt;0,TRUE,FALSE),
TRUE,FALSE)</f>
        <v>1</v>
      </c>
      <c r="U10" s="185" t="b">
        <f>IF(
IF((VLOOKUP($R10,$A$2:$G$18,HLOOKUP(U$1,$B$1:$G$19,19,FALSE)+1,FALSE)-VLOOKUP($R10,$A$2:$G$18,HLOOKUP(U$1,$B$1:$G$19,19,FALSE)+2,FALSE))&lt;0,TRUE,FALSE)
=
IF((VLOOKUP($R10,'Ergebnisse Basisszenario'!$A$2:$G$20,HLOOKUP(U$1,'Ergebnisse Basisszenario'!$B$1:$G$21,21,FALSE)+1,FALSE)-VLOOKUP($R10,'Ergebnisse Basisszenario'!$A$2:$G$20,HLOOKUP(U$1,'Ergebnisse Basisszenario'!$B$1:$G$21,21,FALSE)+2,FALSE))&lt;0,TRUE,FALSE),
TRUE,FALSE)</f>
        <v>1</v>
      </c>
    </row>
    <row r="11" spans="1:21" x14ac:dyDescent="0.3">
      <c r="A11" s="185" t="s">
        <v>920</v>
      </c>
      <c r="B11" s="191">
        <v>2.1718045077409459E-6</v>
      </c>
      <c r="C11" s="191">
        <v>4.9145973494784122E-7</v>
      </c>
      <c r="D11" s="191">
        <v>6.2891433843457581E-7</v>
      </c>
      <c r="E11" s="191">
        <v>5.076547041075584E-7</v>
      </c>
      <c r="F11" s="191">
        <v>3.3080060475788131E-6</v>
      </c>
      <c r="G11" s="191">
        <v>7.5470362877527187E-7</v>
      </c>
      <c r="H11" s="185" t="s">
        <v>919</v>
      </c>
      <c r="J11" s="185" t="s">
        <v>920</v>
      </c>
      <c r="K11" s="192">
        <f>(
VLOOKUP($J11,$A$2:$G$18,HLOOKUP(K$1,$B$1:$G$19,19,FALSE)+1,FALSE)
-
VLOOKUP($J11,'Ergebnisse Basisszenario'!$A$1:$H$21,HLOOKUP(K$1,'Ergebnisse Basisszenario'!$B$1:$G$21,21,FALSE)+1,FALSE)
)
/
VLOOKUP($J11,'Ergebnisse Basisszenario'!$A$1:$H$21,HLOOKUP(K$1,'Ergebnisse Basisszenario'!$B$1:$G$21,21,FALSE)+1,FALSE)</f>
        <v>-4.7343381072343212E-4</v>
      </c>
      <c r="L11" s="192">
        <f>(
VLOOKUP($J11,$A$2:$G$18,HLOOKUP(L$1,$B$1:$G$19,19,FALSE)+1,FALSE)
-
VLOOKUP($J11,'Ergebnisse Basisszenario'!$A$1:$H$21,HLOOKUP(L$1,'Ergebnisse Basisszenario'!$B$1:$G$21,21,FALSE)+1,FALSE)
)
/
VLOOKUP($J11,'Ergebnisse Basisszenario'!$A$1:$H$21,HLOOKUP(L$1,'Ergebnisse Basisszenario'!$B$1:$G$21,21,FALSE)+1,FALSE)</f>
        <v>-3.7334925746059628E-3</v>
      </c>
      <c r="M11" s="192">
        <f>(
VLOOKUP($J11,$A$2:$G$18,HLOOKUP(M$1,$B$1:$G$19,19,FALSE)+1,FALSE)
-
VLOOKUP($J11,'Ergebnisse Basisszenario'!$A$1:$H$21,HLOOKUP(M$1,'Ergebnisse Basisszenario'!$B$1:$G$21,21,FALSE)+1,FALSE)
)
/
VLOOKUP($J11,'Ergebnisse Basisszenario'!$A$1:$H$21,HLOOKUP(M$1,'Ergebnisse Basisszenario'!$B$1:$G$21,21,FALSE)+1,FALSE)</f>
        <v>-1.5866239944318404E-3</v>
      </c>
      <c r="N11" s="192">
        <f>(
VLOOKUP($J11,$A$2:$G$18,HLOOKUP(N$1,$B$1:$G$19,19,FALSE)+1,FALSE)
-
VLOOKUP($J11,'Ergebnisse Basisszenario'!$A$1:$H$21,HLOOKUP(N$1,'Ergebnisse Basisszenario'!$B$1:$G$21,21,FALSE)+1,FALSE)
)
/
VLOOKUP($J11,'Ergebnisse Basisszenario'!$A$1:$H$21,HLOOKUP(N$1,'Ergebnisse Basisszenario'!$B$1:$G$21,21,FALSE)+1,FALSE)</f>
        <v>-4.0142381663737228E-3</v>
      </c>
      <c r="O11" s="192">
        <f>(
VLOOKUP($J11,$A$2:$G$18,HLOOKUP(O$1,$B$1:$G$19,19,FALSE)+1,FALSE)
-
VLOOKUP($J11,'Ergebnisse Basisszenario'!$A$1:$H$21,HLOOKUP(O$1,'Ergebnisse Basisszenario'!$B$1:$G$21,21,FALSE)+1,FALSE)
)
/
VLOOKUP($J11,'Ergebnisse Basisszenario'!$A$1:$H$21,HLOOKUP(O$1,'Ergebnisse Basisszenario'!$B$1:$G$21,21,FALSE)+1,FALSE)</f>
        <v>-1.7045749306747484E-3</v>
      </c>
      <c r="P11" s="192">
        <f>(
VLOOKUP($J11,$A$2:$G$18,HLOOKUP(P$1,$B$1:$G$19,19,FALSE)+1,FALSE)
-
VLOOKUP($J11,'Ergebnisse Basisszenario'!$A$1:$H$21,HLOOKUP(P$1,'Ergebnisse Basisszenario'!$B$1:$G$21,21,FALSE)+1,FALSE)
)
/
VLOOKUP($J11,'Ergebnisse Basisszenario'!$A$1:$H$21,HLOOKUP(P$1,'Ergebnisse Basisszenario'!$B$1:$G$21,21,FALSE)+1,FALSE)</f>
        <v>-4.285764506595565E-3</v>
      </c>
      <c r="R11" s="185" t="s">
        <v>920</v>
      </c>
      <c r="S11" s="185" t="b">
        <f>IF(
IF((VLOOKUP($R11,$A$2:$G$18,HLOOKUP(S$1,$B$1:$G$19,19,FALSE)+1,FALSE)-VLOOKUP($R11,$A$2:$G$18,HLOOKUP(S$1,$B$1:$G$19,19,FALSE)+2,FALSE))&lt;0,TRUE,FALSE)
=
IF((VLOOKUP($R11,'Ergebnisse Basisszenario'!$A$2:$G$20,HLOOKUP(S$1,'Ergebnisse Basisszenario'!$B$1:$G$21,21,FALSE)+1,FALSE)-VLOOKUP($R11,'Ergebnisse Basisszenario'!$A$2:$G$20,HLOOKUP(S$1,'Ergebnisse Basisszenario'!$B$1:$G$21,21,FALSE)+2,FALSE))&lt;0,TRUE,FALSE),
TRUE,FALSE)</f>
        <v>1</v>
      </c>
      <c r="T11" s="185" t="b">
        <f>IF(
IF((VLOOKUP($R11,$A$2:$G$18,HLOOKUP(T$1,$B$1:$G$19,19,FALSE)+1,FALSE)-VLOOKUP($R11,$A$2:$G$18,HLOOKUP(T$1,$B$1:$G$19,19,FALSE)+2,FALSE))&lt;0,TRUE,FALSE)
=
IF((VLOOKUP($R11,'Ergebnisse Basisszenario'!$A$2:$G$20,HLOOKUP(T$1,'Ergebnisse Basisszenario'!$B$1:$G$21,21,FALSE)+1,FALSE)-VLOOKUP($R11,'Ergebnisse Basisszenario'!$A$2:$G$20,HLOOKUP(T$1,'Ergebnisse Basisszenario'!$B$1:$G$21,21,FALSE)+2,FALSE))&lt;0,TRUE,FALSE),
TRUE,FALSE)</f>
        <v>1</v>
      </c>
      <c r="U11" s="185" t="b">
        <f>IF(
IF((VLOOKUP($R11,$A$2:$G$18,HLOOKUP(U$1,$B$1:$G$19,19,FALSE)+1,FALSE)-VLOOKUP($R11,$A$2:$G$18,HLOOKUP(U$1,$B$1:$G$19,19,FALSE)+2,FALSE))&lt;0,TRUE,FALSE)
=
IF((VLOOKUP($R11,'Ergebnisse Basisszenario'!$A$2:$G$20,HLOOKUP(U$1,'Ergebnisse Basisszenario'!$B$1:$G$21,21,FALSE)+1,FALSE)-VLOOKUP($R11,'Ergebnisse Basisszenario'!$A$2:$G$20,HLOOKUP(U$1,'Ergebnisse Basisszenario'!$B$1:$G$21,21,FALSE)+2,FALSE))&lt;0,TRUE,FALSE),
TRUE,FALSE)</f>
        <v>1</v>
      </c>
    </row>
    <row r="12" spans="1:21" x14ac:dyDescent="0.3">
      <c r="A12" s="185" t="s">
        <v>921</v>
      </c>
      <c r="B12" s="191">
        <v>5.2248779117621122</v>
      </c>
      <c r="C12" s="191">
        <v>2.7625522478072781</v>
      </c>
      <c r="D12" s="191">
        <v>4.4735426155483298</v>
      </c>
      <c r="E12" s="191">
        <v>3.168761706019084</v>
      </c>
      <c r="F12" s="191">
        <v>12.616246973594549</v>
      </c>
      <c r="G12" s="191">
        <v>4.6251634537655937</v>
      </c>
      <c r="H12" s="185" t="s">
        <v>922</v>
      </c>
      <c r="J12" s="185" t="s">
        <v>921</v>
      </c>
      <c r="K12" s="192">
        <f>(
VLOOKUP($J12,$A$2:$G$18,HLOOKUP(K$1,$B$1:$G$19,19,FALSE)+1,FALSE)
-
VLOOKUP($J12,'Ergebnisse Basisszenario'!$A$1:$H$21,HLOOKUP(K$1,'Ergebnisse Basisszenario'!$B$1:$G$21,21,FALSE)+1,FALSE)
)
/
VLOOKUP($J12,'Ergebnisse Basisszenario'!$A$1:$H$21,HLOOKUP(K$1,'Ergebnisse Basisszenario'!$B$1:$G$21,21,FALSE)+1,FALSE)</f>
        <v>-0.15294527768401375</v>
      </c>
      <c r="L12" s="192">
        <f>(
VLOOKUP($J12,$A$2:$G$18,HLOOKUP(L$1,$B$1:$G$19,19,FALSE)+1,FALSE)
-
VLOOKUP($J12,'Ergebnisse Basisszenario'!$A$1:$H$21,HLOOKUP(L$1,'Ergebnisse Basisszenario'!$B$1:$G$21,21,FALSE)+1,FALSE)
)
/
VLOOKUP($J12,'Ergebnisse Basisszenario'!$A$1:$H$21,HLOOKUP(L$1,'Ergebnisse Basisszenario'!$B$1:$G$21,21,FALSE)+1,FALSE)</f>
        <v>-0.37942534079917883</v>
      </c>
      <c r="M12" s="192">
        <f>(
VLOOKUP($J12,$A$2:$G$18,HLOOKUP(M$1,$B$1:$G$19,19,FALSE)+1,FALSE)
-
VLOOKUP($J12,'Ergebnisse Basisszenario'!$A$1:$H$21,HLOOKUP(M$1,'Ergebnisse Basisszenario'!$B$1:$G$21,21,FALSE)+1,FALSE)
)
/
VLOOKUP($J12,'Ergebnisse Basisszenario'!$A$1:$H$21,HLOOKUP(M$1,'Ergebnisse Basisszenario'!$B$1:$G$21,21,FALSE)+1,FALSE)</f>
        <v>-0.17004802736972607</v>
      </c>
      <c r="N12" s="192">
        <f>(
VLOOKUP($J12,$A$2:$G$18,HLOOKUP(N$1,$B$1:$G$19,19,FALSE)+1,FALSE)
-
VLOOKUP($J12,'Ergebnisse Basisszenario'!$A$1:$H$21,HLOOKUP(N$1,'Ergebnisse Basisszenario'!$B$1:$G$21,21,FALSE)+1,FALSE)
)
/
VLOOKUP($J12,'Ergebnisse Basisszenario'!$A$1:$H$21,HLOOKUP(N$1,'Ergebnisse Basisszenario'!$B$1:$G$21,21,FALSE)+1,FALSE)</f>
        <v>-0.37192503620558887</v>
      </c>
      <c r="O12" s="192">
        <f>(
VLOOKUP($J12,$A$2:$G$18,HLOOKUP(O$1,$B$1:$G$19,19,FALSE)+1,FALSE)
-
VLOOKUP($J12,'Ergebnisse Basisszenario'!$A$1:$H$21,HLOOKUP(O$1,'Ergebnisse Basisszenario'!$B$1:$G$21,21,FALSE)+1,FALSE)
)
/
VLOOKUP($J12,'Ergebnisse Basisszenario'!$A$1:$H$21,HLOOKUP(O$1,'Ergebnisse Basisszenario'!$B$1:$G$21,21,FALSE)+1,FALSE)</f>
        <v>-0.29107671380818811</v>
      </c>
      <c r="P12" s="192">
        <f>(
VLOOKUP($J12,$A$2:$G$18,HLOOKUP(P$1,$B$1:$G$19,19,FALSE)+1,FALSE)
-
VLOOKUP($J12,'Ergebnisse Basisszenario'!$A$1:$H$21,HLOOKUP(P$1,'Ergebnisse Basisszenario'!$B$1:$G$21,21,FALSE)+1,FALSE)
)
/
VLOOKUP($J12,'Ergebnisse Basisszenario'!$A$1:$H$21,HLOOKUP(P$1,'Ergebnisse Basisszenario'!$B$1:$G$21,21,FALSE)+1,FALSE)</f>
        <v>-0.39176708844715796</v>
      </c>
      <c r="R12" s="185" t="s">
        <v>921</v>
      </c>
      <c r="S12" s="185" t="b">
        <f>IF(
IF((VLOOKUP($R12,$A$2:$G$18,HLOOKUP(S$1,$B$1:$G$19,19,FALSE)+1,FALSE)-VLOOKUP($R12,$A$2:$G$18,HLOOKUP(S$1,$B$1:$G$19,19,FALSE)+2,FALSE))&lt;0,TRUE,FALSE)
=
IF((VLOOKUP($R12,'Ergebnisse Basisszenario'!$A$2:$G$20,HLOOKUP(S$1,'Ergebnisse Basisszenario'!$B$1:$G$21,21,FALSE)+1,FALSE)-VLOOKUP($R12,'Ergebnisse Basisszenario'!$A$2:$G$20,HLOOKUP(S$1,'Ergebnisse Basisszenario'!$B$1:$G$21,21,FALSE)+2,FALSE))&lt;0,TRUE,FALSE),
TRUE,FALSE)</f>
        <v>1</v>
      </c>
      <c r="T12" s="185" t="b">
        <f>IF(
IF((VLOOKUP($R12,$A$2:$G$18,HLOOKUP(T$1,$B$1:$G$19,19,FALSE)+1,FALSE)-VLOOKUP($R12,$A$2:$G$18,HLOOKUP(T$1,$B$1:$G$19,19,FALSE)+2,FALSE))&lt;0,TRUE,FALSE)
=
IF((VLOOKUP($R12,'Ergebnisse Basisszenario'!$A$2:$G$20,HLOOKUP(T$1,'Ergebnisse Basisszenario'!$B$1:$G$21,21,FALSE)+1,FALSE)-VLOOKUP($R12,'Ergebnisse Basisszenario'!$A$2:$G$20,HLOOKUP(T$1,'Ergebnisse Basisszenario'!$B$1:$G$21,21,FALSE)+2,FALSE))&lt;0,TRUE,FALSE),
TRUE,FALSE)</f>
        <v>1</v>
      </c>
      <c r="U12" s="185" t="b">
        <f>IF(
IF((VLOOKUP($R12,$A$2:$G$18,HLOOKUP(U$1,$B$1:$G$19,19,FALSE)+1,FALSE)-VLOOKUP($R12,$A$2:$G$18,HLOOKUP(U$1,$B$1:$G$19,19,FALSE)+2,FALSE))&lt;0,TRUE,FALSE)
=
IF((VLOOKUP($R12,'Ergebnisse Basisszenario'!$A$2:$G$20,HLOOKUP(U$1,'Ergebnisse Basisszenario'!$B$1:$G$21,21,FALSE)+1,FALSE)-VLOOKUP($R12,'Ergebnisse Basisszenario'!$A$2:$G$20,HLOOKUP(U$1,'Ergebnisse Basisszenario'!$B$1:$G$21,21,FALSE)+2,FALSE))&lt;0,TRUE,FALSE),
TRUE,FALSE)</f>
        <v>1</v>
      </c>
    </row>
    <row r="13" spans="1:21" x14ac:dyDescent="0.3">
      <c r="A13" s="185" t="s">
        <v>923</v>
      </c>
      <c r="B13" s="191">
        <v>3256.3879288671569</v>
      </c>
      <c r="C13" s="191">
        <v>121.598373222538</v>
      </c>
      <c r="D13" s="191">
        <v>190.23928234603071</v>
      </c>
      <c r="E13" s="191">
        <v>108.34448701111251</v>
      </c>
      <c r="F13" s="191">
        <v>6301.9307450559136</v>
      </c>
      <c r="G13" s="191">
        <v>158.02224388411119</v>
      </c>
      <c r="H13" s="185" t="s">
        <v>924</v>
      </c>
      <c r="J13" s="185" t="s">
        <v>923</v>
      </c>
      <c r="K13" s="192">
        <f>(
VLOOKUP($J13,$A$2:$G$18,HLOOKUP(K$1,$B$1:$G$19,19,FALSE)+1,FALSE)
-
VLOOKUP($J13,'Ergebnisse Basisszenario'!$A$1:$H$21,HLOOKUP(K$1,'Ergebnisse Basisszenario'!$B$1:$G$21,21,FALSE)+1,FALSE)
)
/
VLOOKUP($J13,'Ergebnisse Basisszenario'!$A$1:$H$21,HLOOKUP(K$1,'Ergebnisse Basisszenario'!$B$1:$G$21,21,FALSE)+1,FALSE)</f>
        <v>-3.8417989352210091E-3</v>
      </c>
      <c r="L13" s="192">
        <f>(
VLOOKUP($J13,$A$2:$G$18,HLOOKUP(L$1,$B$1:$G$19,19,FALSE)+1,FALSE)
-
VLOOKUP($J13,'Ergebnisse Basisszenario'!$A$1:$H$21,HLOOKUP(L$1,'Ergebnisse Basisszenario'!$B$1:$G$21,21,FALSE)+1,FALSE)
)
/
VLOOKUP($J13,'Ergebnisse Basisszenario'!$A$1:$H$21,HLOOKUP(L$1,'Ergebnisse Basisszenario'!$B$1:$G$21,21,FALSE)+1,FALSE)</f>
        <v>-0.15605293475893731</v>
      </c>
      <c r="M13" s="192">
        <f>(
VLOOKUP($J13,$A$2:$G$18,HLOOKUP(M$1,$B$1:$G$19,19,FALSE)+1,FALSE)
-
VLOOKUP($J13,'Ergebnisse Basisszenario'!$A$1:$H$21,HLOOKUP(M$1,'Ergebnisse Basisszenario'!$B$1:$G$21,21,FALSE)+1,FALSE)
)
/
VLOOKUP($J13,'Ergebnisse Basisszenario'!$A$1:$H$21,HLOOKUP(M$1,'Ergebnisse Basisszenario'!$B$1:$G$21,21,FALSE)+1,FALSE)</f>
        <v>-6.027177609414977E-2</v>
      </c>
      <c r="N13" s="192">
        <f>(
VLOOKUP($J13,$A$2:$G$18,HLOOKUP(N$1,$B$1:$G$19,19,FALSE)+1,FALSE)
-
VLOOKUP($J13,'Ergebnisse Basisszenario'!$A$1:$H$21,HLOOKUP(N$1,'Ergebnisse Basisszenario'!$B$1:$G$21,21,FALSE)+1,FALSE)
)
/
VLOOKUP($J13,'Ergebnisse Basisszenario'!$A$1:$H$21,HLOOKUP(N$1,'Ergebnisse Basisszenario'!$B$1:$G$21,21,FALSE)+1,FALSE)</f>
        <v>-0.18735639437131685</v>
      </c>
      <c r="O13" s="192">
        <f>(
VLOOKUP($J13,$A$2:$G$18,HLOOKUP(O$1,$B$1:$G$19,19,FALSE)+1,FALSE)
-
VLOOKUP($J13,'Ergebnisse Basisszenario'!$A$1:$H$21,HLOOKUP(O$1,'Ergebnisse Basisszenario'!$B$1:$G$21,21,FALSE)+1,FALSE)
)
/
VLOOKUP($J13,'Ergebnisse Basisszenario'!$A$1:$H$21,HLOOKUP(O$1,'Ergebnisse Basisszenario'!$B$1:$G$21,21,FALSE)+1,FALSE)</f>
        <v>-1.0823809339880723E-2</v>
      </c>
      <c r="P13" s="192">
        <f>(
VLOOKUP($J13,$A$2:$G$18,HLOOKUP(P$1,$B$1:$G$19,19,FALSE)+1,FALSE)
-
VLOOKUP($J13,'Ergebnisse Basisszenario'!$A$1:$H$21,HLOOKUP(P$1,'Ergebnisse Basisszenario'!$B$1:$G$21,21,FALSE)+1,FALSE)
)
/
VLOOKUP($J13,'Ergebnisse Basisszenario'!$A$1:$H$21,HLOOKUP(P$1,'Ergebnisse Basisszenario'!$B$1:$G$21,21,FALSE)+1,FALSE)</f>
        <v>-0.20061543885967759</v>
      </c>
      <c r="R13" s="185" t="s">
        <v>923</v>
      </c>
      <c r="S13" s="185" t="b">
        <f>IF(
IF((VLOOKUP($R13,$A$2:$G$18,HLOOKUP(S$1,$B$1:$G$19,19,FALSE)+1,FALSE)-VLOOKUP($R13,$A$2:$G$18,HLOOKUP(S$1,$B$1:$G$19,19,FALSE)+2,FALSE))&lt;0,TRUE,FALSE)
=
IF((VLOOKUP($R13,'Ergebnisse Basisszenario'!$A$2:$G$20,HLOOKUP(S$1,'Ergebnisse Basisszenario'!$B$1:$G$21,21,FALSE)+1,FALSE)-VLOOKUP($R13,'Ergebnisse Basisszenario'!$A$2:$G$20,HLOOKUP(S$1,'Ergebnisse Basisszenario'!$B$1:$G$21,21,FALSE)+2,FALSE))&lt;0,TRUE,FALSE),
TRUE,FALSE)</f>
        <v>1</v>
      </c>
      <c r="T13" s="185" t="b">
        <f>IF(
IF((VLOOKUP($R13,$A$2:$G$18,HLOOKUP(T$1,$B$1:$G$19,19,FALSE)+1,FALSE)-VLOOKUP($R13,$A$2:$G$18,HLOOKUP(T$1,$B$1:$G$19,19,FALSE)+2,FALSE))&lt;0,TRUE,FALSE)
=
IF((VLOOKUP($R13,'Ergebnisse Basisszenario'!$A$2:$G$20,HLOOKUP(T$1,'Ergebnisse Basisszenario'!$B$1:$G$21,21,FALSE)+1,FALSE)-VLOOKUP($R13,'Ergebnisse Basisszenario'!$A$2:$G$20,HLOOKUP(T$1,'Ergebnisse Basisszenario'!$B$1:$G$21,21,FALSE)+2,FALSE))&lt;0,TRUE,FALSE),
TRUE,FALSE)</f>
        <v>1</v>
      </c>
      <c r="U13" s="185" t="b">
        <f>IF(
IF((VLOOKUP($R13,$A$2:$G$18,HLOOKUP(U$1,$B$1:$G$19,19,FALSE)+1,FALSE)-VLOOKUP($R13,$A$2:$G$18,HLOOKUP(U$1,$B$1:$G$19,19,FALSE)+2,FALSE))&lt;0,TRUE,FALSE)
=
IF((VLOOKUP($R13,'Ergebnisse Basisszenario'!$A$2:$G$20,HLOOKUP(U$1,'Ergebnisse Basisszenario'!$B$1:$G$21,21,FALSE)+1,FALSE)-VLOOKUP($R13,'Ergebnisse Basisszenario'!$A$2:$G$20,HLOOKUP(U$1,'Ergebnisse Basisszenario'!$B$1:$G$21,21,FALSE)+2,FALSE))&lt;0,TRUE,FALSE),
TRUE,FALSE)</f>
        <v>1</v>
      </c>
    </row>
    <row r="14" spans="1:21" x14ac:dyDescent="0.3">
      <c r="A14" s="185" t="s">
        <v>925</v>
      </c>
      <c r="B14" s="191">
        <v>9.1592827771723592E-4</v>
      </c>
      <c r="C14" s="191">
        <v>4.5742124515917569E-4</v>
      </c>
      <c r="D14" s="191">
        <v>4.1247103765135521E-4</v>
      </c>
      <c r="E14" s="191">
        <v>4.7219120005654658E-4</v>
      </c>
      <c r="F14" s="191">
        <v>1.9659300413222068E-3</v>
      </c>
      <c r="G14" s="191">
        <v>7.0944105322762153E-4</v>
      </c>
      <c r="H14" s="185" t="s">
        <v>926</v>
      </c>
      <c r="J14" s="185" t="s">
        <v>925</v>
      </c>
      <c r="K14" s="192">
        <f>(
VLOOKUP($J14,$A$2:$G$18,HLOOKUP(K$1,$B$1:$G$19,19,FALSE)+1,FALSE)
-
VLOOKUP($J14,'Ergebnisse Basisszenario'!$A$1:$H$21,HLOOKUP(K$1,'Ergebnisse Basisszenario'!$B$1:$G$21,21,FALSE)+1,FALSE)
)
/
VLOOKUP($J14,'Ergebnisse Basisszenario'!$A$1:$H$21,HLOOKUP(K$1,'Ergebnisse Basisszenario'!$B$1:$G$21,21,FALSE)+1,FALSE)</f>
        <v>7.1460391512948529E-2</v>
      </c>
      <c r="L14" s="192">
        <f>(
VLOOKUP($J14,$A$2:$G$18,HLOOKUP(L$1,$B$1:$G$19,19,FALSE)+1,FALSE)
-
VLOOKUP($J14,'Ergebnisse Basisszenario'!$A$1:$H$21,HLOOKUP(L$1,'Ergebnisse Basisszenario'!$B$1:$G$21,21,FALSE)+1,FALSE)
)
/
VLOOKUP($J14,'Ergebnisse Basisszenario'!$A$1:$H$21,HLOOKUP(L$1,'Ergebnisse Basisszenario'!$B$1:$G$21,21,FALSE)+1,FALSE)</f>
        <v>0.31423017269128306</v>
      </c>
      <c r="M14" s="192">
        <f>(
VLOOKUP($J14,$A$2:$G$18,HLOOKUP(M$1,$B$1:$G$19,19,FALSE)+1,FALSE)
-
VLOOKUP($J14,'Ergebnisse Basisszenario'!$A$1:$H$21,HLOOKUP(M$1,'Ergebnisse Basisszenario'!$B$1:$G$21,21,FALSE)+1,FALSE)
)
/
VLOOKUP($J14,'Ergebnisse Basisszenario'!$A$1:$H$21,HLOOKUP(M$1,'Ergebnisse Basisszenario'!$B$1:$G$21,21,FALSE)+1,FALSE)</f>
        <v>0.1680724466498407</v>
      </c>
      <c r="N14" s="192">
        <f>(
VLOOKUP($J14,$A$2:$G$18,HLOOKUP(N$1,$B$1:$G$19,19,FALSE)+1,FALSE)
-
VLOOKUP($J14,'Ergebnisse Basisszenario'!$A$1:$H$21,HLOOKUP(N$1,'Ergebnisse Basisszenario'!$B$1:$G$21,21,FALSE)+1,FALSE)
)
/
VLOOKUP($J14,'Ergebnisse Basisszenario'!$A$1:$H$21,HLOOKUP(N$1,'Ergebnisse Basisszenario'!$B$1:$G$21,21,FALSE)+1,FALSE)</f>
        <v>0.34646640751399066</v>
      </c>
      <c r="O14" s="192">
        <f>(
VLOOKUP($J14,$A$2:$G$18,HLOOKUP(O$1,$B$1:$G$19,19,FALSE)+1,FALSE)
-
VLOOKUP($J14,'Ergebnisse Basisszenario'!$A$1:$H$21,HLOOKUP(O$1,'Ergebnisse Basisszenario'!$B$1:$G$21,21,FALSE)+1,FALSE)
)
/
VLOOKUP($J14,'Ergebnisse Basisszenario'!$A$1:$H$21,HLOOKUP(O$1,'Ergebnisse Basisszenario'!$B$1:$G$21,21,FALSE)+1,FALSE)</f>
        <v>0.20571444840081046</v>
      </c>
      <c r="P14" s="192">
        <f>(
VLOOKUP($J14,$A$2:$G$18,HLOOKUP(P$1,$B$1:$G$19,19,FALSE)+1,FALSE)
-
VLOOKUP($J14,'Ergebnisse Basisszenario'!$A$1:$H$21,HLOOKUP(P$1,'Ergebnisse Basisszenario'!$B$1:$G$21,21,FALSE)+1,FALSE)
)
/
VLOOKUP($J14,'Ergebnisse Basisszenario'!$A$1:$H$21,HLOOKUP(P$1,'Ergebnisse Basisszenario'!$B$1:$G$21,21,FALSE)+1,FALSE)</f>
        <v>0.37344902934150587</v>
      </c>
      <c r="R14" s="185" t="s">
        <v>925</v>
      </c>
      <c r="S14" s="185" t="b">
        <f>IF(
IF((VLOOKUP($R14,$A$2:$G$18,HLOOKUP(S$1,$B$1:$G$19,19,FALSE)+1,FALSE)-VLOOKUP($R14,$A$2:$G$18,HLOOKUP(S$1,$B$1:$G$19,19,FALSE)+2,FALSE))&lt;0,TRUE,FALSE)
=
IF((VLOOKUP($R14,'Ergebnisse Basisszenario'!$A$2:$G$20,HLOOKUP(S$1,'Ergebnisse Basisszenario'!$B$1:$G$21,21,FALSE)+1,FALSE)-VLOOKUP($R14,'Ergebnisse Basisszenario'!$A$2:$G$20,HLOOKUP(S$1,'Ergebnisse Basisszenario'!$B$1:$G$21,21,FALSE)+2,FALSE))&lt;0,TRUE,FALSE),
TRUE,FALSE)</f>
        <v>1</v>
      </c>
      <c r="T14" s="185" t="b">
        <f>IF(
IF((VLOOKUP($R14,$A$2:$G$18,HLOOKUP(T$1,$B$1:$G$19,19,FALSE)+1,FALSE)-VLOOKUP($R14,$A$2:$G$18,HLOOKUP(T$1,$B$1:$G$19,19,FALSE)+2,FALSE))&lt;0,TRUE,FALSE)
=
IF((VLOOKUP($R14,'Ergebnisse Basisszenario'!$A$2:$G$20,HLOOKUP(T$1,'Ergebnisse Basisszenario'!$B$1:$G$21,21,FALSE)+1,FALSE)-VLOOKUP($R14,'Ergebnisse Basisszenario'!$A$2:$G$20,HLOOKUP(T$1,'Ergebnisse Basisszenario'!$B$1:$G$21,21,FALSE)+2,FALSE))&lt;0,TRUE,FALSE),
TRUE,FALSE)</f>
        <v>0</v>
      </c>
      <c r="U14" s="185" t="b">
        <f>IF(
IF((VLOOKUP($R14,$A$2:$G$18,HLOOKUP(U$1,$B$1:$G$19,19,FALSE)+1,FALSE)-VLOOKUP($R14,$A$2:$G$18,HLOOKUP(U$1,$B$1:$G$19,19,FALSE)+2,FALSE))&lt;0,TRUE,FALSE)
=
IF((VLOOKUP($R14,'Ergebnisse Basisszenario'!$A$2:$G$20,HLOOKUP(U$1,'Ergebnisse Basisszenario'!$B$1:$G$21,21,FALSE)+1,FALSE)-VLOOKUP($R14,'Ergebnisse Basisszenario'!$A$2:$G$20,HLOOKUP(U$1,'Ergebnisse Basisszenario'!$B$1:$G$21,21,FALSE)+2,FALSE))&lt;0,TRUE,FALSE),
TRUE,FALSE)</f>
        <v>1</v>
      </c>
    </row>
    <row r="15" spans="1:21" x14ac:dyDescent="0.3">
      <c r="A15" s="185" t="s">
        <v>927</v>
      </c>
      <c r="B15" s="191">
        <v>7.2167122183934179E-6</v>
      </c>
      <c r="C15" s="191">
        <v>4.6779352276106156E-6</v>
      </c>
      <c r="D15" s="191">
        <v>4.6569280175412927E-6</v>
      </c>
      <c r="E15" s="191">
        <v>5.0348980753325906E-6</v>
      </c>
      <c r="F15" s="191">
        <v>1.8309284036235348E-5</v>
      </c>
      <c r="G15" s="191">
        <v>7.6068300601119311E-6</v>
      </c>
      <c r="H15" s="185" t="s">
        <v>928</v>
      </c>
      <c r="J15" s="185" t="s">
        <v>927</v>
      </c>
      <c r="K15" s="192">
        <f>(
VLOOKUP($J15,$A$2:$G$18,HLOOKUP(K$1,$B$1:$G$19,19,FALSE)+1,FALSE)
-
VLOOKUP($J15,'Ergebnisse Basisszenario'!$A$1:$H$21,HLOOKUP(K$1,'Ergebnisse Basisszenario'!$B$1:$G$21,21,FALSE)+1,FALSE)
)
/
VLOOKUP($J15,'Ergebnisse Basisszenario'!$A$1:$H$21,HLOOKUP(K$1,'Ergebnisse Basisszenario'!$B$1:$G$21,21,FALSE)+1,FALSE)</f>
        <v>-4.63268068890946E-3</v>
      </c>
      <c r="L15" s="192">
        <f>(
VLOOKUP($J15,$A$2:$G$18,HLOOKUP(L$1,$B$1:$G$19,19,FALSE)+1,FALSE)
-
VLOOKUP($J15,'Ergebnisse Basisszenario'!$A$1:$H$21,HLOOKUP(L$1,'Ergebnisse Basisszenario'!$B$1:$G$21,21,FALSE)+1,FALSE)
)
/
VLOOKUP($J15,'Ergebnisse Basisszenario'!$A$1:$H$21,HLOOKUP(L$1,'Ergebnisse Basisszenario'!$B$1:$G$21,21,FALSE)+1,FALSE)</f>
        <v>-1.2691965667582112E-2</v>
      </c>
      <c r="M15" s="192">
        <f>(
VLOOKUP($J15,$A$2:$G$18,HLOOKUP(M$1,$B$1:$G$19,19,FALSE)+1,FALSE)
-
VLOOKUP($J15,'Ergebnisse Basisszenario'!$A$1:$H$21,HLOOKUP(M$1,'Ergebnisse Basisszenario'!$B$1:$G$21,21,FALSE)+1,FALSE)
)
/
VLOOKUP($J15,'Ergebnisse Basisszenario'!$A$1:$H$21,HLOOKUP(M$1,'Ergebnisse Basisszenario'!$B$1:$G$21,21,FALSE)+1,FALSE)</f>
        <v>-6.9586604334630235E-3</v>
      </c>
      <c r="N15" s="192">
        <f>(
VLOOKUP($J15,$A$2:$G$18,HLOOKUP(N$1,$B$1:$G$19,19,FALSE)+1,FALSE)
-
VLOOKUP($J15,'Ergebnisse Basisszenario'!$A$1:$H$21,HLOOKUP(N$1,'Ergebnisse Basisszenario'!$B$1:$G$21,21,FALSE)+1,FALSE)
)
/
VLOOKUP($J15,'Ergebnisse Basisszenario'!$A$1:$H$21,HLOOKUP(N$1,'Ergebnisse Basisszenario'!$B$1:$G$21,21,FALSE)+1,FALSE)</f>
        <v>-1.3095008983699152E-2</v>
      </c>
      <c r="O15" s="192">
        <f>(
VLOOKUP($J15,$A$2:$G$18,HLOOKUP(O$1,$B$1:$G$19,19,FALSE)+1,FALSE)
-
VLOOKUP($J15,'Ergebnisse Basisszenario'!$A$1:$H$21,HLOOKUP(O$1,'Ergebnisse Basisszenario'!$B$1:$G$21,21,FALSE)+1,FALSE)
)
/
VLOOKUP($J15,'Ergebnisse Basisszenario'!$A$1:$H$21,HLOOKUP(O$1,'Ergebnisse Basisszenario'!$B$1:$G$21,21,FALSE)+1,FALSE)</f>
        <v>-9.972451807019278E-3</v>
      </c>
      <c r="P15" s="192">
        <f>(
VLOOKUP($J15,$A$2:$G$18,HLOOKUP(P$1,$B$1:$G$19,19,FALSE)+1,FALSE)
-
VLOOKUP($J15,'Ergebnisse Basisszenario'!$A$1:$H$21,HLOOKUP(P$1,'Ergebnisse Basisszenario'!$B$1:$G$21,21,FALSE)+1,FALSE)
)
/
VLOOKUP($J15,'Ergebnisse Basisszenario'!$A$1:$H$21,HLOOKUP(P$1,'Ergebnisse Basisszenario'!$B$1:$G$21,21,FALSE)+1,FALSE)</f>
        <v>-1.3751665897537374E-2</v>
      </c>
      <c r="R15" s="185" t="s">
        <v>927</v>
      </c>
      <c r="S15" s="185" t="b">
        <f>IF(
IF((VLOOKUP($R15,$A$2:$G$18,HLOOKUP(S$1,$B$1:$G$19,19,FALSE)+1,FALSE)-VLOOKUP($R15,$A$2:$G$18,HLOOKUP(S$1,$B$1:$G$19,19,FALSE)+2,FALSE))&lt;0,TRUE,FALSE)
=
IF((VLOOKUP($R15,'Ergebnisse Basisszenario'!$A$2:$G$20,HLOOKUP(S$1,'Ergebnisse Basisszenario'!$B$1:$G$21,21,FALSE)+1,FALSE)-VLOOKUP($R15,'Ergebnisse Basisszenario'!$A$2:$G$20,HLOOKUP(S$1,'Ergebnisse Basisszenario'!$B$1:$G$21,21,FALSE)+2,FALSE))&lt;0,TRUE,FALSE),
TRUE,FALSE)</f>
        <v>1</v>
      </c>
      <c r="T15" s="185" t="b">
        <f>IF(
IF((VLOOKUP($R15,$A$2:$G$18,HLOOKUP(T$1,$B$1:$G$19,19,FALSE)+1,FALSE)-VLOOKUP($R15,$A$2:$G$18,HLOOKUP(T$1,$B$1:$G$19,19,FALSE)+2,FALSE))&lt;0,TRUE,FALSE)
=
IF((VLOOKUP($R15,'Ergebnisse Basisszenario'!$A$2:$G$20,HLOOKUP(T$1,'Ergebnisse Basisszenario'!$B$1:$G$21,21,FALSE)+1,FALSE)-VLOOKUP($R15,'Ergebnisse Basisszenario'!$A$2:$G$20,HLOOKUP(T$1,'Ergebnisse Basisszenario'!$B$1:$G$21,21,FALSE)+2,FALSE))&lt;0,TRUE,FALSE),
TRUE,FALSE)</f>
        <v>1</v>
      </c>
      <c r="U15" s="185" t="b">
        <f>IF(
IF((VLOOKUP($R15,$A$2:$G$18,HLOOKUP(U$1,$B$1:$G$19,19,FALSE)+1,FALSE)-VLOOKUP($R15,$A$2:$G$18,HLOOKUP(U$1,$B$1:$G$19,19,FALSE)+2,FALSE))&lt;0,TRUE,FALSE)
=
IF((VLOOKUP($R15,'Ergebnisse Basisszenario'!$A$2:$G$20,HLOOKUP(U$1,'Ergebnisse Basisszenario'!$B$1:$G$21,21,FALSE)+1,FALSE)-VLOOKUP($R15,'Ergebnisse Basisszenario'!$A$2:$G$20,HLOOKUP(U$1,'Ergebnisse Basisszenario'!$B$1:$G$21,21,FALSE)+2,FALSE))&lt;0,TRUE,FALSE),
TRUE,FALSE)</f>
        <v>1</v>
      </c>
    </row>
    <row r="16" spans="1:21" x14ac:dyDescent="0.3">
      <c r="A16" s="185" t="s">
        <v>929</v>
      </c>
      <c r="B16" s="191">
        <v>6.2471919150913776E-6</v>
      </c>
      <c r="C16" s="191">
        <v>9.817541695996836E-7</v>
      </c>
      <c r="D16" s="191">
        <v>2.0787370343403941E-6</v>
      </c>
      <c r="E16" s="191">
        <v>9.6145125834039251E-7</v>
      </c>
      <c r="F16" s="191">
        <v>7.7368512792138567E-6</v>
      </c>
      <c r="G16" s="191">
        <v>1.353708838488304E-6</v>
      </c>
      <c r="H16" s="185" t="s">
        <v>930</v>
      </c>
      <c r="J16" s="185" t="s">
        <v>929</v>
      </c>
      <c r="K16" s="192">
        <f>(
VLOOKUP($J16,$A$2:$G$18,HLOOKUP(K$1,$B$1:$G$19,19,FALSE)+1,FALSE)
-
VLOOKUP($J16,'Ergebnisse Basisszenario'!$A$1:$H$21,HLOOKUP(K$1,'Ergebnisse Basisszenario'!$B$1:$G$21,21,FALSE)+1,FALSE)
)
/
VLOOKUP($J16,'Ergebnisse Basisszenario'!$A$1:$H$21,HLOOKUP(K$1,'Ergebnisse Basisszenario'!$B$1:$G$21,21,FALSE)+1,FALSE)</f>
        <v>1.9344465515030776E-3</v>
      </c>
      <c r="L16" s="192">
        <f>(
VLOOKUP($J16,$A$2:$G$18,HLOOKUP(L$1,$B$1:$G$19,19,FALSE)+1,FALSE)
-
VLOOKUP($J16,'Ergebnisse Basisszenario'!$A$1:$H$21,HLOOKUP(L$1,'Ergebnisse Basisszenario'!$B$1:$G$21,21,FALSE)+1,FALSE)
)
/
VLOOKUP($J16,'Ergebnisse Basisszenario'!$A$1:$H$21,HLOOKUP(L$1,'Ergebnisse Basisszenario'!$B$1:$G$21,21,FALSE)+1,FALSE)</f>
        <v>2.2490591919834695E-2</v>
      </c>
      <c r="M16" s="192">
        <f>(
VLOOKUP($J16,$A$2:$G$18,HLOOKUP(M$1,$B$1:$G$19,19,FALSE)+1,FALSE)
-
VLOOKUP($J16,'Ergebnisse Basisszenario'!$A$1:$H$21,HLOOKUP(M$1,'Ergebnisse Basisszenario'!$B$1:$G$21,21,FALSE)+1,FALSE)
)
/
VLOOKUP($J16,'Ergebnisse Basisszenario'!$A$1:$H$21,HLOOKUP(M$1,'Ergebnisse Basisszenario'!$B$1:$G$21,21,FALSE)+1,FALSE)</f>
        <v>5.6692729465361545E-3</v>
      </c>
      <c r="N16" s="192">
        <f>(
VLOOKUP($J16,$A$2:$G$18,HLOOKUP(N$1,$B$1:$G$19,19,FALSE)+1,FALSE)
-
VLOOKUP($J16,'Ergebnisse Basisszenario'!$A$1:$H$21,HLOOKUP(N$1,'Ergebnisse Basisszenario'!$B$1:$G$21,21,FALSE)+1,FALSE)
)
/
VLOOKUP($J16,'Ergebnisse Basisszenario'!$A$1:$H$21,HLOOKUP(N$1,'Ergebnisse Basisszenario'!$B$1:$G$21,21,FALSE)+1,FALSE)</f>
        <v>2.5590680217404294E-2</v>
      </c>
      <c r="O16" s="192">
        <f>(
VLOOKUP($J16,$A$2:$G$18,HLOOKUP(O$1,$B$1:$G$19,19,FALSE)+1,FALSE)
-
VLOOKUP($J16,'Ergebnisse Basisszenario'!$A$1:$H$21,HLOOKUP(O$1,'Ergebnisse Basisszenario'!$B$1:$G$21,21,FALSE)+1,FALSE)
)
/
VLOOKUP($J16,'Ergebnisse Basisszenario'!$A$1:$H$21,HLOOKUP(O$1,'Ergebnisse Basisszenario'!$B$1:$G$21,21,FALSE)+1,FALSE)</f>
        <v>8.633944601504304E-3</v>
      </c>
      <c r="P16" s="192">
        <f>(
VLOOKUP($J16,$A$2:$G$18,HLOOKUP(P$1,$B$1:$G$19,19,FALSE)+1,FALSE)
-
VLOOKUP($J16,'Ergebnisse Basisszenario'!$A$1:$H$21,HLOOKUP(P$1,'Ergebnisse Basisszenario'!$B$1:$G$21,21,FALSE)+1,FALSE)
)
/
VLOOKUP($J16,'Ergebnisse Basisszenario'!$A$1:$H$21,HLOOKUP(P$1,'Ergebnisse Basisszenario'!$B$1:$G$21,21,FALSE)+1,FALSE)</f>
        <v>2.8950485655298751E-2</v>
      </c>
      <c r="R16" s="185" t="s">
        <v>929</v>
      </c>
      <c r="S16" s="185" t="b">
        <f>IF(
IF((VLOOKUP($R16,$A$2:$G$18,HLOOKUP(S$1,$B$1:$G$19,19,FALSE)+1,FALSE)-VLOOKUP($R16,$A$2:$G$18,HLOOKUP(S$1,$B$1:$G$19,19,FALSE)+2,FALSE))&lt;0,TRUE,FALSE)
=
IF((VLOOKUP($R16,'Ergebnisse Basisszenario'!$A$2:$G$20,HLOOKUP(S$1,'Ergebnisse Basisszenario'!$B$1:$G$21,21,FALSE)+1,FALSE)-VLOOKUP($R16,'Ergebnisse Basisszenario'!$A$2:$G$20,HLOOKUP(S$1,'Ergebnisse Basisszenario'!$B$1:$G$21,21,FALSE)+2,FALSE))&lt;0,TRUE,FALSE),
TRUE,FALSE)</f>
        <v>1</v>
      </c>
      <c r="T16" s="185" t="b">
        <f>IF(
IF((VLOOKUP($R16,$A$2:$G$18,HLOOKUP(T$1,$B$1:$G$19,19,FALSE)+1,FALSE)-VLOOKUP($R16,$A$2:$G$18,HLOOKUP(T$1,$B$1:$G$19,19,FALSE)+2,FALSE))&lt;0,TRUE,FALSE)
=
IF((VLOOKUP($R16,'Ergebnisse Basisszenario'!$A$2:$G$20,HLOOKUP(T$1,'Ergebnisse Basisszenario'!$B$1:$G$21,21,FALSE)+1,FALSE)-VLOOKUP($R16,'Ergebnisse Basisszenario'!$A$2:$G$20,HLOOKUP(T$1,'Ergebnisse Basisszenario'!$B$1:$G$21,21,FALSE)+2,FALSE))&lt;0,TRUE,FALSE),
TRUE,FALSE)</f>
        <v>1</v>
      </c>
      <c r="U16" s="185" t="b">
        <f>IF(
IF((VLOOKUP($R16,$A$2:$G$18,HLOOKUP(U$1,$B$1:$G$19,19,FALSE)+1,FALSE)-VLOOKUP($R16,$A$2:$G$18,HLOOKUP(U$1,$B$1:$G$19,19,FALSE)+2,FALSE))&lt;0,TRUE,FALSE)
=
IF((VLOOKUP($R16,'Ergebnisse Basisszenario'!$A$2:$G$20,HLOOKUP(U$1,'Ergebnisse Basisszenario'!$B$1:$G$21,21,FALSE)+1,FALSE)-VLOOKUP($R16,'Ergebnisse Basisszenario'!$A$2:$G$20,HLOOKUP(U$1,'Ergebnisse Basisszenario'!$B$1:$G$21,21,FALSE)+2,FALSE))&lt;0,TRUE,FALSE),
TRUE,FALSE)</f>
        <v>1</v>
      </c>
    </row>
    <row r="17" spans="1:21" x14ac:dyDescent="0.3">
      <c r="A17" s="185" t="s">
        <v>931</v>
      </c>
      <c r="B17" s="191">
        <v>0.35061386388509758</v>
      </c>
      <c r="C17" s="191">
        <v>9.4452176086707459E-2</v>
      </c>
      <c r="D17" s="191">
        <v>0.18357223844131121</v>
      </c>
      <c r="E17" s="191">
        <v>0.1019000197290289</v>
      </c>
      <c r="F17" s="191">
        <v>0.54843085192622099</v>
      </c>
      <c r="G17" s="191">
        <v>0.145294249575249</v>
      </c>
      <c r="H17" s="185" t="s">
        <v>932</v>
      </c>
      <c r="J17" s="185" t="s">
        <v>931</v>
      </c>
      <c r="K17" s="192">
        <f>(
VLOOKUP($J17,$A$2:$G$18,HLOOKUP(K$1,$B$1:$G$19,19,FALSE)+1,FALSE)
-
VLOOKUP($J17,'Ergebnisse Basisszenario'!$A$1:$H$21,HLOOKUP(K$1,'Ergebnisse Basisszenario'!$B$1:$G$21,21,FALSE)+1,FALSE)
)
/
VLOOKUP($J17,'Ergebnisse Basisszenario'!$A$1:$H$21,HLOOKUP(K$1,'Ergebnisse Basisszenario'!$B$1:$G$21,21,FALSE)+1,FALSE)</f>
        <v>-9.2554543999735905E-3</v>
      </c>
      <c r="L17" s="192">
        <f>(
VLOOKUP($J17,$A$2:$G$18,HLOOKUP(L$1,$B$1:$G$19,19,FALSE)+1,FALSE)
-
VLOOKUP($J17,'Ergebnisse Basisszenario'!$A$1:$H$21,HLOOKUP(L$1,'Ergebnisse Basisszenario'!$B$1:$G$21,21,FALSE)+1,FALSE)
)
/
VLOOKUP($J17,'Ergebnisse Basisszenario'!$A$1:$H$21,HLOOKUP(L$1,'Ergebnisse Basisszenario'!$B$1:$G$21,21,FALSE)+1,FALSE)</f>
        <v>-5.84568545260956E-2</v>
      </c>
      <c r="M17" s="192">
        <f>(
VLOOKUP($J17,$A$2:$G$18,HLOOKUP(M$1,$B$1:$G$19,19,FALSE)+1,FALSE)
-
VLOOKUP($J17,'Ergebnisse Basisszenario'!$A$1:$H$21,HLOOKUP(M$1,'Ergebnisse Basisszenario'!$B$1:$G$21,21,FALSE)+1,FALSE)
)
/
VLOOKUP($J17,'Ergebnisse Basisszenario'!$A$1:$H$21,HLOOKUP(M$1,'Ergebnisse Basisszenario'!$B$1:$G$21,21,FALSE)+1,FALSE)</f>
        <v>-1.7039763038581027E-2</v>
      </c>
      <c r="N17" s="192">
        <f>(
VLOOKUP($J17,$A$2:$G$18,HLOOKUP(N$1,$B$1:$G$19,19,FALSE)+1,FALSE)
-
VLOOKUP($J17,'Ergebnisse Basisszenario'!$A$1:$H$21,HLOOKUP(N$1,'Ergebnisse Basisszenario'!$B$1:$G$21,21,FALSE)+1,FALSE)
)
/
VLOOKUP($J17,'Ergebnisse Basisszenario'!$A$1:$H$21,HLOOKUP(N$1,'Ergebnisse Basisszenario'!$B$1:$G$21,21,FALSE)+1,FALSE)</f>
        <v>-6.0091001404127424E-2</v>
      </c>
      <c r="O17" s="192">
        <f>(
VLOOKUP($J17,$A$2:$G$18,HLOOKUP(O$1,$B$1:$G$19,19,FALSE)+1,FALSE)
-
VLOOKUP($J17,'Ergebnisse Basisszenario'!$A$1:$H$21,HLOOKUP(O$1,'Ergebnisse Basisszenario'!$B$1:$G$21,21,FALSE)+1,FALSE)
)
/
VLOOKUP($J17,'Ergebnisse Basisszenario'!$A$1:$H$21,HLOOKUP(O$1,'Ergebnisse Basisszenario'!$B$1:$G$21,21,FALSE)+1,FALSE)</f>
        <v>-3.1751747778144948E-2</v>
      </c>
      <c r="P17" s="192">
        <f>(
VLOOKUP($J17,$A$2:$G$18,HLOOKUP(P$1,$B$1:$G$19,19,FALSE)+1,FALSE)
-
VLOOKUP($J17,'Ergebnisse Basisszenario'!$A$1:$H$21,HLOOKUP(P$1,'Ergebnisse Basisszenario'!$B$1:$G$21,21,FALSE)+1,FALSE)
)
/
VLOOKUP($J17,'Ergebnisse Basisszenario'!$A$1:$H$21,HLOOKUP(P$1,'Ergebnisse Basisszenario'!$B$1:$G$21,21,FALSE)+1,FALSE)</f>
        <v>-6.6456239361369587E-2</v>
      </c>
      <c r="R17" s="185" t="s">
        <v>931</v>
      </c>
      <c r="S17" s="185" t="b">
        <f>IF(
IF((VLOOKUP($R17,$A$2:$G$18,HLOOKUP(S$1,$B$1:$G$19,19,FALSE)+1,FALSE)-VLOOKUP($R17,$A$2:$G$18,HLOOKUP(S$1,$B$1:$G$19,19,FALSE)+2,FALSE))&lt;0,TRUE,FALSE)
=
IF((VLOOKUP($R17,'Ergebnisse Basisszenario'!$A$2:$G$20,HLOOKUP(S$1,'Ergebnisse Basisszenario'!$B$1:$G$21,21,FALSE)+1,FALSE)-VLOOKUP($R17,'Ergebnisse Basisszenario'!$A$2:$G$20,HLOOKUP(S$1,'Ergebnisse Basisszenario'!$B$1:$G$21,21,FALSE)+2,FALSE))&lt;0,TRUE,FALSE),
TRUE,FALSE)</f>
        <v>1</v>
      </c>
      <c r="T17" s="185" t="b">
        <f>IF(
IF((VLOOKUP($R17,$A$2:$G$18,HLOOKUP(T$1,$B$1:$G$19,19,FALSE)+1,FALSE)-VLOOKUP($R17,$A$2:$G$18,HLOOKUP(T$1,$B$1:$G$19,19,FALSE)+2,FALSE))&lt;0,TRUE,FALSE)
=
IF((VLOOKUP($R17,'Ergebnisse Basisszenario'!$A$2:$G$20,HLOOKUP(T$1,'Ergebnisse Basisszenario'!$B$1:$G$21,21,FALSE)+1,FALSE)-VLOOKUP($R17,'Ergebnisse Basisszenario'!$A$2:$G$20,HLOOKUP(T$1,'Ergebnisse Basisszenario'!$B$1:$G$21,21,FALSE)+2,FALSE))&lt;0,TRUE,FALSE),
TRUE,FALSE)</f>
        <v>1</v>
      </c>
      <c r="U17" s="185" t="b">
        <f>IF(
IF((VLOOKUP($R17,$A$2:$G$18,HLOOKUP(U$1,$B$1:$G$19,19,FALSE)+1,FALSE)-VLOOKUP($R17,$A$2:$G$18,HLOOKUP(U$1,$B$1:$G$19,19,FALSE)+2,FALSE))&lt;0,TRUE,FALSE)
=
IF((VLOOKUP($R17,'Ergebnisse Basisszenario'!$A$2:$G$20,HLOOKUP(U$1,'Ergebnisse Basisszenario'!$B$1:$G$21,21,FALSE)+1,FALSE)-VLOOKUP($R17,'Ergebnisse Basisszenario'!$A$2:$G$20,HLOOKUP(U$1,'Ergebnisse Basisszenario'!$B$1:$G$21,21,FALSE)+2,FALSE))&lt;0,TRUE,FALSE),
TRUE,FALSE)</f>
        <v>1</v>
      </c>
    </row>
    <row r="18" spans="1:21" x14ac:dyDescent="0.3">
      <c r="A18" s="185" t="s">
        <v>933</v>
      </c>
      <c r="B18" s="191">
        <v>39.405877499849623</v>
      </c>
      <c r="C18" s="191">
        <v>11.1925019491811</v>
      </c>
      <c r="D18" s="191">
        <v>22.59444444803788</v>
      </c>
      <c r="E18" s="191">
        <v>12.120535713953331</v>
      </c>
      <c r="F18" s="191">
        <v>67.092331689755142</v>
      </c>
      <c r="G18" s="191">
        <v>16.831040444136711</v>
      </c>
      <c r="H18" s="185" t="s">
        <v>934</v>
      </c>
      <c r="J18" s="185" t="s">
        <v>933</v>
      </c>
      <c r="K18" s="192">
        <f>(
VLOOKUP($J18,$A$2:$G$18,HLOOKUP(K$1,$B$1:$G$19,19,FALSE)+1,FALSE)
-
VLOOKUP($J18,'Ergebnisse Basisszenario'!$A$1:$H$21,HLOOKUP(K$1,'Ergebnisse Basisszenario'!$B$1:$G$21,21,FALSE)+1,FALSE)
)
/
VLOOKUP($J18,'Ergebnisse Basisszenario'!$A$1:$H$21,HLOOKUP(K$1,'Ergebnisse Basisszenario'!$B$1:$G$21,21,FALSE)+1,FALSE)</f>
        <v>7.8151663516191159E-3</v>
      </c>
      <c r="L18" s="192">
        <f>(
VLOOKUP($J18,$A$2:$G$18,HLOOKUP(L$1,$B$1:$G$19,19,FALSE)+1,FALSE)
-
VLOOKUP($J18,'Ergebnisse Basisszenario'!$A$1:$H$21,HLOOKUP(L$1,'Ergebnisse Basisszenario'!$B$1:$G$21,21,FALSE)+1,FALSE)
)
/
VLOOKUP($J18,'Ergebnisse Basisszenario'!$A$1:$H$21,HLOOKUP(L$1,'Ergebnisse Basisszenario'!$B$1:$G$21,21,FALSE)+1,FALSE)</f>
        <v>5.1392292997962344E-2</v>
      </c>
      <c r="M18" s="192">
        <f>(
VLOOKUP($J18,$A$2:$G$18,HLOOKUP(M$1,$B$1:$G$19,19,FALSE)+1,FALSE)
-
VLOOKUP($J18,'Ergebnisse Basisszenario'!$A$1:$H$21,HLOOKUP(M$1,'Ergebnisse Basisszenario'!$B$1:$G$21,21,FALSE)+1,FALSE)
)
/
VLOOKUP($J18,'Ergebnisse Basisszenario'!$A$1:$H$21,HLOOKUP(M$1,'Ergebnisse Basisszenario'!$B$1:$G$21,21,FALSE)+1,FALSE)</f>
        <v>1.331467186717258E-2</v>
      </c>
      <c r="N18" s="192">
        <f>(
VLOOKUP($J18,$A$2:$G$18,HLOOKUP(N$1,$B$1:$G$19,19,FALSE)+1,FALSE)
-
VLOOKUP($J18,'Ergebnisse Basisszenario'!$A$1:$H$21,HLOOKUP(N$1,'Ergebnisse Basisszenario'!$B$1:$G$21,21,FALSE)+1,FALSE)
)
/
VLOOKUP($J18,'Ergebnisse Basisszenario'!$A$1:$H$21,HLOOKUP(N$1,'Ergebnisse Basisszenario'!$B$1:$G$21,21,FALSE)+1,FALSE)</f>
        <v>5.2792479531711803E-2</v>
      </c>
      <c r="O18" s="192">
        <f>(
VLOOKUP($J18,$A$2:$G$18,HLOOKUP(O$1,$B$1:$G$19,19,FALSE)+1,FALSE)
-
VLOOKUP($J18,'Ergebnisse Basisszenario'!$A$1:$H$21,HLOOKUP(O$1,'Ergebnisse Basisszenario'!$B$1:$G$21,21,FALSE)+1,FALSE)
)
/
VLOOKUP($J18,'Ergebnisse Basisszenario'!$A$1:$H$21,HLOOKUP(O$1,'Ergebnisse Basisszenario'!$B$1:$G$21,21,FALSE)+1,FALSE)</f>
        <v>2.5649692374589E-2</v>
      </c>
      <c r="P18" s="192">
        <f>(
VLOOKUP($J18,$A$2:$G$18,HLOOKUP(P$1,$B$1:$G$19,19,FALSE)+1,FALSE)
-
VLOOKUP($J18,'Ergebnisse Basisszenario'!$A$1:$H$21,HLOOKUP(P$1,'Ergebnisse Basisszenario'!$B$1:$G$21,21,FALSE)+1,FALSE)
)
/
VLOOKUP($J18,'Ergebnisse Basisszenario'!$A$1:$H$21,HLOOKUP(P$1,'Ergebnisse Basisszenario'!$B$1:$G$21,21,FALSE)+1,FALSE)</f>
        <v>6.0818072702553738E-2</v>
      </c>
      <c r="R18" s="185" t="s">
        <v>933</v>
      </c>
      <c r="S18" s="185" t="b">
        <f>IF(
IF((VLOOKUP($R18,$A$2:$G$18,HLOOKUP(S$1,$B$1:$G$19,19,FALSE)+1,FALSE)-VLOOKUP($R18,$A$2:$G$18,HLOOKUP(S$1,$B$1:$G$19,19,FALSE)+2,FALSE))&lt;0,TRUE,FALSE)
=
IF((VLOOKUP($R18,'Ergebnisse Basisszenario'!$A$2:$G$20,HLOOKUP(S$1,'Ergebnisse Basisszenario'!$B$1:$G$21,21,FALSE)+1,FALSE)-VLOOKUP($R18,'Ergebnisse Basisszenario'!$A$2:$G$20,HLOOKUP(S$1,'Ergebnisse Basisszenario'!$B$1:$G$21,21,FALSE)+2,FALSE))&lt;0,TRUE,FALSE),
TRUE,FALSE)</f>
        <v>1</v>
      </c>
      <c r="T18" s="185" t="b">
        <f>IF(
IF((VLOOKUP($R18,$A$2:$G$18,HLOOKUP(T$1,$B$1:$G$19,19,FALSE)+1,FALSE)-VLOOKUP($R18,$A$2:$G$18,HLOOKUP(T$1,$B$1:$G$19,19,FALSE)+2,FALSE))&lt;0,TRUE,FALSE)
=
IF((VLOOKUP($R18,'Ergebnisse Basisszenario'!$A$2:$G$20,HLOOKUP(T$1,'Ergebnisse Basisszenario'!$B$1:$G$21,21,FALSE)+1,FALSE)-VLOOKUP($R18,'Ergebnisse Basisszenario'!$A$2:$G$20,HLOOKUP(T$1,'Ergebnisse Basisszenario'!$B$1:$G$21,21,FALSE)+2,FALSE))&lt;0,TRUE,FALSE),
TRUE,FALSE)</f>
        <v>1</v>
      </c>
      <c r="U18" s="185" t="b">
        <f>IF(
IF((VLOOKUP($R18,$A$2:$G$18,HLOOKUP(U$1,$B$1:$G$19,19,FALSE)+1,FALSE)-VLOOKUP($R18,$A$2:$G$18,HLOOKUP(U$1,$B$1:$G$19,19,FALSE)+2,FALSE))&lt;0,TRUE,FALSE)
=
IF((VLOOKUP($R18,'Ergebnisse Basisszenario'!$A$2:$G$20,HLOOKUP(U$1,'Ergebnisse Basisszenario'!$B$1:$G$21,21,FALSE)+1,FALSE)-VLOOKUP($R18,'Ergebnisse Basisszenario'!$A$2:$G$20,HLOOKUP(U$1,'Ergebnisse Basisszenario'!$B$1:$G$21,21,FALSE)+2,FALSE))&lt;0,TRUE,FALSE),
TRUE,FALSE)</f>
        <v>1</v>
      </c>
    </row>
    <row r="19" spans="1:21" x14ac:dyDescent="0.3">
      <c r="B19" s="185">
        <v>1</v>
      </c>
      <c r="C19" s="185">
        <v>2</v>
      </c>
      <c r="D19" s="185">
        <v>3</v>
      </c>
      <c r="E19" s="185">
        <v>4</v>
      </c>
      <c r="F19" s="185">
        <v>5</v>
      </c>
      <c r="G19" s="185">
        <v>6</v>
      </c>
    </row>
    <row r="21" spans="1:21" x14ac:dyDescent="0.3">
      <c r="A21" s="186" t="s">
        <v>938</v>
      </c>
      <c r="B21" s="247" cm="1">
        <f t="array" ref="B21">SUMPRODUCT((B2:B18&lt;C2:C18)*1)</f>
        <v>0</v>
      </c>
      <c r="C21" s="247"/>
      <c r="D21" s="247" cm="1">
        <f t="array" ref="D21">SUMPRODUCT((D2:D18&lt;E2:E18)*1)</f>
        <v>3</v>
      </c>
      <c r="E21" s="247"/>
      <c r="F21" s="247" cm="1">
        <f t="array" ref="F21">SUMPRODUCT((F2:F18&lt;G2:G18)*1)</f>
        <v>0</v>
      </c>
      <c r="G21" s="247"/>
      <c r="J21" s="192"/>
    </row>
    <row r="22" spans="1:21" x14ac:dyDescent="0.3">
      <c r="A22" s="208" t="s">
        <v>1000</v>
      </c>
    </row>
    <row r="23" spans="1:21" x14ac:dyDescent="0.3">
      <c r="A23" s="207" t="s">
        <v>903</v>
      </c>
    </row>
    <row r="24" spans="1:21" x14ac:dyDescent="0.3">
      <c r="A24" s="186"/>
      <c r="B24" s="247" t="s">
        <v>898</v>
      </c>
      <c r="C24" s="247"/>
      <c r="D24" s="247" t="s">
        <v>899</v>
      </c>
      <c r="E24" s="247"/>
      <c r="F24" s="247" t="s">
        <v>900</v>
      </c>
      <c r="G24" s="247"/>
    </row>
    <row r="25" spans="1:21" x14ac:dyDescent="0.3">
      <c r="B25" s="185" t="s">
        <v>660</v>
      </c>
      <c r="C25" s="185" t="s">
        <v>669</v>
      </c>
      <c r="D25" s="185" t="s">
        <v>660</v>
      </c>
      <c r="E25" s="185" t="s">
        <v>669</v>
      </c>
      <c r="F25" s="185" t="s">
        <v>660</v>
      </c>
      <c r="G25" s="185" t="s">
        <v>669</v>
      </c>
    </row>
    <row r="26" spans="1:21" x14ac:dyDescent="0.3">
      <c r="A26" s="185" t="s">
        <v>939</v>
      </c>
      <c r="B26" s="188">
        <f>VLOOKUP($A$23,$A$2:$G$18,2,FALSE)</f>
        <v>89.79197378437344</v>
      </c>
      <c r="C26" s="188">
        <f>VLOOKUP($A$23,$A$2:$G$18,3,FALSE)</f>
        <v>43.151367758651453</v>
      </c>
      <c r="D26" s="188">
        <f>VLOOKUP($A$23,$A$2:$G$18,4,FALSE)</f>
        <v>96.455591961911907</v>
      </c>
      <c r="E26" s="188">
        <f>VLOOKUP($A$23,$A$2:$G$18,5,FALSE)</f>
        <v>51.401237404902261</v>
      </c>
      <c r="F26" s="188">
        <f>VLOOKUP($A$23,$A$2:$G$18,6,FALSE)</f>
        <v>192.9922448039157</v>
      </c>
      <c r="G26" s="188">
        <f>VLOOKUP($A$23,$A$2:$G$18,7,FALSE)</f>
        <v>72.110644819203316</v>
      </c>
    </row>
    <row r="27" spans="1:21" x14ac:dyDescent="0.3">
      <c r="A27" s="185" t="s">
        <v>940</v>
      </c>
      <c r="B27" s="188">
        <f>VLOOKUP($A$23,'Ergebnisse Basisszenario'!$A$2:$G$20,2,FALSE)</f>
        <v>94.428134249607126</v>
      </c>
      <c r="C27" s="188">
        <f>VLOOKUP($A$23,'Ergebnisse Basisszenario'!$A$2:$G$20,3,FALSE)</f>
        <v>51.451796087851058</v>
      </c>
      <c r="D27" s="188">
        <f>VLOOKUP($A$23,'Ergebnisse Basisszenario'!$A$2:$G$20,4,FALSE)</f>
        <v>100.959898345727</v>
      </c>
      <c r="E27" s="188">
        <f>VLOOKUP($A$23,'Ergebnisse Basisszenario'!$A$2:$G$20,5,FALSE)</f>
        <v>60.622517652332903</v>
      </c>
      <c r="F27" s="188">
        <f>VLOOKUP($A$23,'Ergebnisse Basisszenario'!$A$2:$G$20,6,FALSE)</f>
        <v>218.4485935047714</v>
      </c>
      <c r="G27" s="188">
        <f>VLOOKUP($A$23,'Ergebnisse Basisszenario'!$A$2:$G$20,7,FALSE)</f>
        <v>86.750703793861035</v>
      </c>
    </row>
    <row r="28" spans="1:21" x14ac:dyDescent="0.3">
      <c r="A28" s="185" t="s">
        <v>941</v>
      </c>
      <c r="B28" s="185">
        <f>B26-B27</f>
        <v>-4.6361604652336865</v>
      </c>
      <c r="C28" s="185">
        <f t="shared" ref="C28:G28" si="0">C26-C27</f>
        <v>-8.3004283291996046</v>
      </c>
      <c r="D28" s="185">
        <f t="shared" si="0"/>
        <v>-4.5043063838150914</v>
      </c>
      <c r="E28" s="185">
        <f t="shared" si="0"/>
        <v>-9.2212802474306415</v>
      </c>
      <c r="F28" s="185">
        <f t="shared" si="0"/>
        <v>-25.456348700855699</v>
      </c>
      <c r="G28" s="185">
        <f t="shared" si="0"/>
        <v>-14.64005897465772</v>
      </c>
    </row>
    <row r="29" spans="1:21" x14ac:dyDescent="0.3">
      <c r="A29" s="185" t="s">
        <v>942</v>
      </c>
      <c r="B29" s="185">
        <f>IF(B28&gt;0,B28,0)</f>
        <v>0</v>
      </c>
      <c r="C29" s="185">
        <f t="shared" ref="C29:G29" si="1">IF(C28&gt;0,C28,0)</f>
        <v>0</v>
      </c>
      <c r="D29" s="185">
        <f t="shared" si="1"/>
        <v>0</v>
      </c>
      <c r="E29" s="185">
        <f t="shared" si="1"/>
        <v>0</v>
      </c>
      <c r="F29" s="185">
        <f t="shared" si="1"/>
        <v>0</v>
      </c>
      <c r="G29" s="185">
        <f t="shared" si="1"/>
        <v>0</v>
      </c>
    </row>
    <row r="30" spans="1:21" x14ac:dyDescent="0.3">
      <c r="A30" s="185" t="s">
        <v>943</v>
      </c>
      <c r="B30" s="185">
        <f>IF(B28&lt;0,B28,0)*(-1)</f>
        <v>4.6361604652336865</v>
      </c>
      <c r="C30" s="185">
        <f t="shared" ref="C30:G30" si="2">IF(C28&lt;0,C28,0)*(-1)</f>
        <v>8.3004283291996046</v>
      </c>
      <c r="D30" s="185">
        <f t="shared" si="2"/>
        <v>4.5043063838150914</v>
      </c>
      <c r="E30" s="185">
        <f t="shared" si="2"/>
        <v>9.2212802474306415</v>
      </c>
      <c r="F30" s="185">
        <f t="shared" si="2"/>
        <v>25.456348700855699</v>
      </c>
      <c r="G30" s="185">
        <f t="shared" si="2"/>
        <v>14.64005897465772</v>
      </c>
    </row>
    <row r="31" spans="1:21" x14ac:dyDescent="0.3">
      <c r="A31" s="185" t="s">
        <v>944</v>
      </c>
      <c r="B31" s="185">
        <f>IF(B26&lt;B27,B26,B27)</f>
        <v>89.79197378437344</v>
      </c>
      <c r="C31" s="185">
        <f t="shared" ref="C31:G31" si="3">IF(C26&lt;C27,C26,C27)</f>
        <v>43.151367758651453</v>
      </c>
      <c r="D31" s="185">
        <f t="shared" si="3"/>
        <v>96.455591961911907</v>
      </c>
      <c r="E31" s="185">
        <f t="shared" si="3"/>
        <v>51.401237404902261</v>
      </c>
      <c r="F31" s="185">
        <f t="shared" si="3"/>
        <v>192.9922448039157</v>
      </c>
      <c r="G31" s="185">
        <f t="shared" si="3"/>
        <v>72.110644819203316</v>
      </c>
    </row>
    <row r="32" spans="1:21" x14ac:dyDescent="0.3">
      <c r="A32" s="185" t="s">
        <v>945</v>
      </c>
      <c r="B32" s="201">
        <f>B28/B27</f>
        <v>-4.9097236772450321E-2</v>
      </c>
      <c r="C32" s="201">
        <f t="shared" ref="C32:G32" si="4">C28/C27</f>
        <v>-0.1613243649459212</v>
      </c>
      <c r="D32" s="201">
        <f t="shared" si="4"/>
        <v>-4.4614807043392102E-2</v>
      </c>
      <c r="E32" s="201">
        <f t="shared" si="4"/>
        <v>-0.15210981998989584</v>
      </c>
      <c r="F32" s="201">
        <f t="shared" si="4"/>
        <v>-0.11653244496765175</v>
      </c>
      <c r="G32" s="201">
        <f t="shared" si="4"/>
        <v>-0.16876011760602838</v>
      </c>
    </row>
    <row r="33" spans="1:7" x14ac:dyDescent="0.3">
      <c r="A33" s="185" t="s">
        <v>946</v>
      </c>
      <c r="B33" s="188">
        <f>SUM(B29:B31)+SUM(B29:B31)*0.05</f>
        <v>99.149540962087485</v>
      </c>
      <c r="C33" s="188">
        <f t="shared" ref="C33:G33" si="5">SUM(C29:C31)+SUM(C29:C31)*0.05</f>
        <v>54.024385892243615</v>
      </c>
      <c r="D33" s="188">
        <f t="shared" si="5"/>
        <v>106.00789326301334</v>
      </c>
      <c r="E33" s="188">
        <f t="shared" si="5"/>
        <v>63.653643534949545</v>
      </c>
      <c r="F33" s="188">
        <f t="shared" si="5"/>
        <v>229.37102318000996</v>
      </c>
      <c r="G33" s="188">
        <f t="shared" si="5"/>
        <v>91.088238983554092</v>
      </c>
    </row>
  </sheetData>
  <mergeCells count="6">
    <mergeCell ref="B21:C21"/>
    <mergeCell ref="D21:E21"/>
    <mergeCell ref="F21:G21"/>
    <mergeCell ref="B24:C24"/>
    <mergeCell ref="D24:E24"/>
    <mergeCell ref="F24:G24"/>
  </mergeCells>
  <conditionalFormatting sqref="B2:C2">
    <cfRule type="colorScale" priority="53">
      <colorScale>
        <cfvo type="min"/>
        <cfvo type="percentile" val="50"/>
        <cfvo type="max"/>
        <color rgb="FF63BE7B"/>
        <color rgb="FFFFEB84"/>
        <color rgb="FFF8696B"/>
      </colorScale>
    </cfRule>
  </conditionalFormatting>
  <conditionalFormatting sqref="B3:C3">
    <cfRule type="colorScale" priority="52">
      <colorScale>
        <cfvo type="min"/>
        <cfvo type="percentile" val="50"/>
        <cfvo type="max"/>
        <color rgb="FF63BE7B"/>
        <color rgb="FFFFEB84"/>
        <color rgb="FFF8696B"/>
      </colorScale>
    </cfRule>
  </conditionalFormatting>
  <conditionalFormatting sqref="B4:C4">
    <cfRule type="colorScale" priority="51">
      <colorScale>
        <cfvo type="min"/>
        <cfvo type="percentile" val="50"/>
        <cfvo type="max"/>
        <color rgb="FF63BE7B"/>
        <color rgb="FFFFEB84"/>
        <color rgb="FFF8696B"/>
      </colorScale>
    </cfRule>
  </conditionalFormatting>
  <conditionalFormatting sqref="B5:C5">
    <cfRule type="colorScale" priority="50">
      <colorScale>
        <cfvo type="min"/>
        <cfvo type="percentile" val="50"/>
        <cfvo type="max"/>
        <color rgb="FF63BE7B"/>
        <color rgb="FFFFEB84"/>
        <color rgb="FFF8696B"/>
      </colorScale>
    </cfRule>
  </conditionalFormatting>
  <conditionalFormatting sqref="B6:C6">
    <cfRule type="colorScale" priority="49">
      <colorScale>
        <cfvo type="min"/>
        <cfvo type="percentile" val="50"/>
        <cfvo type="max"/>
        <color rgb="FF63BE7B"/>
        <color rgb="FFFFEB84"/>
        <color rgb="FFF8696B"/>
      </colorScale>
    </cfRule>
  </conditionalFormatting>
  <conditionalFormatting sqref="B7:C7">
    <cfRule type="colorScale" priority="48">
      <colorScale>
        <cfvo type="min"/>
        <cfvo type="percentile" val="50"/>
        <cfvo type="max"/>
        <color rgb="FF63BE7B"/>
        <color rgb="FFFFEB84"/>
        <color rgb="FFF8696B"/>
      </colorScale>
    </cfRule>
  </conditionalFormatting>
  <conditionalFormatting sqref="B8:C8">
    <cfRule type="colorScale" priority="47">
      <colorScale>
        <cfvo type="min"/>
        <cfvo type="percentile" val="50"/>
        <cfvo type="max"/>
        <color rgb="FF63BE7B"/>
        <color rgb="FFFFEB84"/>
        <color rgb="FFF8696B"/>
      </colorScale>
    </cfRule>
  </conditionalFormatting>
  <conditionalFormatting sqref="B9:C9">
    <cfRule type="colorScale" priority="46">
      <colorScale>
        <cfvo type="min"/>
        <cfvo type="percentile" val="50"/>
        <cfvo type="max"/>
        <color rgb="FF63BE7B"/>
        <color rgb="FFFFEB84"/>
        <color rgb="FFF8696B"/>
      </colorScale>
    </cfRule>
  </conditionalFormatting>
  <conditionalFormatting sqref="B10:C10">
    <cfRule type="colorScale" priority="45">
      <colorScale>
        <cfvo type="min"/>
        <cfvo type="percentile" val="50"/>
        <cfvo type="max"/>
        <color rgb="FF63BE7B"/>
        <color rgb="FFFFEB84"/>
        <color rgb="FFF8696B"/>
      </colorScale>
    </cfRule>
  </conditionalFormatting>
  <conditionalFormatting sqref="B11:C11">
    <cfRule type="colorScale" priority="44">
      <colorScale>
        <cfvo type="min"/>
        <cfvo type="percentile" val="50"/>
        <cfvo type="max"/>
        <color rgb="FF63BE7B"/>
        <color rgb="FFFFEB84"/>
        <color rgb="FFF8696B"/>
      </colorScale>
    </cfRule>
  </conditionalFormatting>
  <conditionalFormatting sqref="B12:C12">
    <cfRule type="colorScale" priority="43">
      <colorScale>
        <cfvo type="min"/>
        <cfvo type="percentile" val="50"/>
        <cfvo type="max"/>
        <color rgb="FF63BE7B"/>
        <color rgb="FFFFEB84"/>
        <color rgb="FFF8696B"/>
      </colorScale>
    </cfRule>
  </conditionalFormatting>
  <conditionalFormatting sqref="B13:C13">
    <cfRule type="colorScale" priority="42">
      <colorScale>
        <cfvo type="min"/>
        <cfvo type="percentile" val="50"/>
        <cfvo type="max"/>
        <color rgb="FF63BE7B"/>
        <color rgb="FFFFEB84"/>
        <color rgb="FFF8696B"/>
      </colorScale>
    </cfRule>
  </conditionalFormatting>
  <conditionalFormatting sqref="B14:C14">
    <cfRule type="colorScale" priority="41">
      <colorScale>
        <cfvo type="min"/>
        <cfvo type="percentile" val="50"/>
        <cfvo type="max"/>
        <color rgb="FF63BE7B"/>
        <color rgb="FFFFEB84"/>
        <color rgb="FFF8696B"/>
      </colorScale>
    </cfRule>
  </conditionalFormatting>
  <conditionalFormatting sqref="B15:C15">
    <cfRule type="colorScale" priority="40">
      <colorScale>
        <cfvo type="min"/>
        <cfvo type="percentile" val="50"/>
        <cfvo type="max"/>
        <color rgb="FF63BE7B"/>
        <color rgb="FFFFEB84"/>
        <color rgb="FFF8696B"/>
      </colorScale>
    </cfRule>
  </conditionalFormatting>
  <conditionalFormatting sqref="B16:C16">
    <cfRule type="colorScale" priority="39">
      <colorScale>
        <cfvo type="min"/>
        <cfvo type="percentile" val="50"/>
        <cfvo type="max"/>
        <color rgb="FF63BE7B"/>
        <color rgb="FFFFEB84"/>
        <color rgb="FFF8696B"/>
      </colorScale>
    </cfRule>
  </conditionalFormatting>
  <conditionalFormatting sqref="B17:C17">
    <cfRule type="colorScale" priority="38">
      <colorScale>
        <cfvo type="min"/>
        <cfvo type="percentile" val="50"/>
        <cfvo type="max"/>
        <color rgb="FF63BE7B"/>
        <color rgb="FFFFEB84"/>
        <color rgb="FFF8696B"/>
      </colorScale>
    </cfRule>
  </conditionalFormatting>
  <conditionalFormatting sqref="B18:C18">
    <cfRule type="colorScale" priority="37">
      <colorScale>
        <cfvo type="min"/>
        <cfvo type="percentile" val="50"/>
        <cfvo type="max"/>
        <color rgb="FF63BE7B"/>
        <color rgb="FFFFEB84"/>
        <color rgb="FFF8696B"/>
      </colorScale>
    </cfRule>
  </conditionalFormatting>
  <conditionalFormatting sqref="D2:E2">
    <cfRule type="colorScale" priority="36">
      <colorScale>
        <cfvo type="min"/>
        <cfvo type="percentile" val="50"/>
        <cfvo type="max"/>
        <color rgb="FF63BE7B"/>
        <color rgb="FFFFEB84"/>
        <color rgb="FFF8696B"/>
      </colorScale>
    </cfRule>
  </conditionalFormatting>
  <conditionalFormatting sqref="D3:E3">
    <cfRule type="colorScale" priority="35">
      <colorScale>
        <cfvo type="min"/>
        <cfvo type="percentile" val="50"/>
        <cfvo type="max"/>
        <color rgb="FF63BE7B"/>
        <color rgb="FFFFEB84"/>
        <color rgb="FFF8696B"/>
      </colorScale>
    </cfRule>
  </conditionalFormatting>
  <conditionalFormatting sqref="D4:E4">
    <cfRule type="colorScale" priority="34">
      <colorScale>
        <cfvo type="min"/>
        <cfvo type="percentile" val="50"/>
        <cfvo type="max"/>
        <color rgb="FF63BE7B"/>
        <color rgb="FFFFEB84"/>
        <color rgb="FFF8696B"/>
      </colorScale>
    </cfRule>
  </conditionalFormatting>
  <conditionalFormatting sqref="D5:E5">
    <cfRule type="colorScale" priority="33">
      <colorScale>
        <cfvo type="min"/>
        <cfvo type="percentile" val="50"/>
        <cfvo type="max"/>
        <color rgb="FF63BE7B"/>
        <color rgb="FFFFEB84"/>
        <color rgb="FFF8696B"/>
      </colorScale>
    </cfRule>
  </conditionalFormatting>
  <conditionalFormatting sqref="D6:E6">
    <cfRule type="colorScale" priority="32">
      <colorScale>
        <cfvo type="min"/>
        <cfvo type="percentile" val="50"/>
        <cfvo type="max"/>
        <color rgb="FF63BE7B"/>
        <color rgb="FFFFEB84"/>
        <color rgb="FFF8696B"/>
      </colorScale>
    </cfRule>
  </conditionalFormatting>
  <conditionalFormatting sqref="D7:E7">
    <cfRule type="colorScale" priority="31">
      <colorScale>
        <cfvo type="min"/>
        <cfvo type="percentile" val="50"/>
        <cfvo type="max"/>
        <color rgb="FF63BE7B"/>
        <color rgb="FFFFEB84"/>
        <color rgb="FFF8696B"/>
      </colorScale>
    </cfRule>
  </conditionalFormatting>
  <conditionalFormatting sqref="D8:E8">
    <cfRule type="colorScale" priority="30">
      <colorScale>
        <cfvo type="min"/>
        <cfvo type="percentile" val="50"/>
        <cfvo type="max"/>
        <color rgb="FF63BE7B"/>
        <color rgb="FFFFEB84"/>
        <color rgb="FFF8696B"/>
      </colorScale>
    </cfRule>
  </conditionalFormatting>
  <conditionalFormatting sqref="D9:E9">
    <cfRule type="colorScale" priority="29">
      <colorScale>
        <cfvo type="min"/>
        <cfvo type="percentile" val="50"/>
        <cfvo type="max"/>
        <color rgb="FF63BE7B"/>
        <color rgb="FFFFEB84"/>
        <color rgb="FFF8696B"/>
      </colorScale>
    </cfRule>
  </conditionalFormatting>
  <conditionalFormatting sqref="D10:E10">
    <cfRule type="colorScale" priority="28">
      <colorScale>
        <cfvo type="min"/>
        <cfvo type="percentile" val="50"/>
        <cfvo type="max"/>
        <color rgb="FF63BE7B"/>
        <color rgb="FFFFEB84"/>
        <color rgb="FFF8696B"/>
      </colorScale>
    </cfRule>
  </conditionalFormatting>
  <conditionalFormatting sqref="D11:E11">
    <cfRule type="colorScale" priority="27">
      <colorScale>
        <cfvo type="min"/>
        <cfvo type="percentile" val="50"/>
        <cfvo type="max"/>
        <color rgb="FF63BE7B"/>
        <color rgb="FFFFEB84"/>
        <color rgb="FFF8696B"/>
      </colorScale>
    </cfRule>
  </conditionalFormatting>
  <conditionalFormatting sqref="D12:E12">
    <cfRule type="colorScale" priority="26">
      <colorScale>
        <cfvo type="min"/>
        <cfvo type="percentile" val="50"/>
        <cfvo type="max"/>
        <color rgb="FF63BE7B"/>
        <color rgb="FFFFEB84"/>
        <color rgb="FFF8696B"/>
      </colorScale>
    </cfRule>
  </conditionalFormatting>
  <conditionalFormatting sqref="D13:E13">
    <cfRule type="colorScale" priority="25">
      <colorScale>
        <cfvo type="min"/>
        <cfvo type="percentile" val="50"/>
        <cfvo type="max"/>
        <color rgb="FF63BE7B"/>
        <color rgb="FFFFEB84"/>
        <color rgb="FFF8696B"/>
      </colorScale>
    </cfRule>
  </conditionalFormatting>
  <conditionalFormatting sqref="D14:E14">
    <cfRule type="colorScale" priority="24">
      <colorScale>
        <cfvo type="min"/>
        <cfvo type="percentile" val="50"/>
        <cfvo type="max"/>
        <color rgb="FF63BE7B"/>
        <color rgb="FFFFEB84"/>
        <color rgb="FFF8696B"/>
      </colorScale>
    </cfRule>
  </conditionalFormatting>
  <conditionalFormatting sqref="D15:E15">
    <cfRule type="colorScale" priority="23">
      <colorScale>
        <cfvo type="min"/>
        <cfvo type="percentile" val="50"/>
        <cfvo type="max"/>
        <color rgb="FF63BE7B"/>
        <color rgb="FFFFEB84"/>
        <color rgb="FFF8696B"/>
      </colorScale>
    </cfRule>
  </conditionalFormatting>
  <conditionalFormatting sqref="D16:E16">
    <cfRule type="colorScale" priority="22">
      <colorScale>
        <cfvo type="min"/>
        <cfvo type="percentile" val="50"/>
        <cfvo type="max"/>
        <color rgb="FF63BE7B"/>
        <color rgb="FFFFEB84"/>
        <color rgb="FFF8696B"/>
      </colorScale>
    </cfRule>
  </conditionalFormatting>
  <conditionalFormatting sqref="D17:E17">
    <cfRule type="colorScale" priority="21">
      <colorScale>
        <cfvo type="min"/>
        <cfvo type="percentile" val="50"/>
        <cfvo type="max"/>
        <color rgb="FF63BE7B"/>
        <color rgb="FFFFEB84"/>
        <color rgb="FFF8696B"/>
      </colorScale>
    </cfRule>
  </conditionalFormatting>
  <conditionalFormatting sqref="D18:E18">
    <cfRule type="colorScale" priority="20">
      <colorScale>
        <cfvo type="min"/>
        <cfvo type="percentile" val="50"/>
        <cfvo type="max"/>
        <color rgb="FF63BE7B"/>
        <color rgb="FFFFEB84"/>
        <color rgb="FFF8696B"/>
      </colorScale>
    </cfRule>
  </conditionalFormatting>
  <conditionalFormatting sqref="F2:G2">
    <cfRule type="colorScale" priority="19">
      <colorScale>
        <cfvo type="min"/>
        <cfvo type="percentile" val="50"/>
        <cfvo type="max"/>
        <color rgb="FF63BE7B"/>
        <color rgb="FFFFEB84"/>
        <color rgb="FFF8696B"/>
      </colorScale>
    </cfRule>
  </conditionalFormatting>
  <conditionalFormatting sqref="F3:G3">
    <cfRule type="colorScale" priority="18">
      <colorScale>
        <cfvo type="min"/>
        <cfvo type="percentile" val="50"/>
        <cfvo type="max"/>
        <color rgb="FF63BE7B"/>
        <color rgb="FFFFEB84"/>
        <color rgb="FFF8696B"/>
      </colorScale>
    </cfRule>
  </conditionalFormatting>
  <conditionalFormatting sqref="F4:G4">
    <cfRule type="colorScale" priority="17">
      <colorScale>
        <cfvo type="min"/>
        <cfvo type="percentile" val="50"/>
        <cfvo type="max"/>
        <color rgb="FF63BE7B"/>
        <color rgb="FFFFEB84"/>
        <color rgb="FFF8696B"/>
      </colorScale>
    </cfRule>
  </conditionalFormatting>
  <conditionalFormatting sqref="F5:G5">
    <cfRule type="colorScale" priority="16">
      <colorScale>
        <cfvo type="min"/>
        <cfvo type="percentile" val="50"/>
        <cfvo type="max"/>
        <color rgb="FF63BE7B"/>
        <color rgb="FFFFEB84"/>
        <color rgb="FFF8696B"/>
      </colorScale>
    </cfRule>
  </conditionalFormatting>
  <conditionalFormatting sqref="F6:G6">
    <cfRule type="colorScale" priority="15">
      <colorScale>
        <cfvo type="min"/>
        <cfvo type="percentile" val="50"/>
        <cfvo type="max"/>
        <color rgb="FF63BE7B"/>
        <color rgb="FFFFEB84"/>
        <color rgb="FFF8696B"/>
      </colorScale>
    </cfRule>
  </conditionalFormatting>
  <conditionalFormatting sqref="F7:G7">
    <cfRule type="colorScale" priority="14">
      <colorScale>
        <cfvo type="min"/>
        <cfvo type="percentile" val="50"/>
        <cfvo type="max"/>
        <color rgb="FF63BE7B"/>
        <color rgb="FFFFEB84"/>
        <color rgb="FFF8696B"/>
      </colorScale>
    </cfRule>
  </conditionalFormatting>
  <conditionalFormatting sqref="F8:G8">
    <cfRule type="colorScale" priority="13">
      <colorScale>
        <cfvo type="min"/>
        <cfvo type="percentile" val="50"/>
        <cfvo type="max"/>
        <color rgb="FF63BE7B"/>
        <color rgb="FFFFEB84"/>
        <color rgb="FFF8696B"/>
      </colorScale>
    </cfRule>
  </conditionalFormatting>
  <conditionalFormatting sqref="F9:G9">
    <cfRule type="colorScale" priority="12">
      <colorScale>
        <cfvo type="min"/>
        <cfvo type="percentile" val="50"/>
        <cfvo type="max"/>
        <color rgb="FF63BE7B"/>
        <color rgb="FFFFEB84"/>
        <color rgb="FFF8696B"/>
      </colorScale>
    </cfRule>
  </conditionalFormatting>
  <conditionalFormatting sqref="F10:G10">
    <cfRule type="colorScale" priority="11">
      <colorScale>
        <cfvo type="min"/>
        <cfvo type="percentile" val="50"/>
        <cfvo type="max"/>
        <color rgb="FF63BE7B"/>
        <color rgb="FFFFEB84"/>
        <color rgb="FFF8696B"/>
      </colorScale>
    </cfRule>
  </conditionalFormatting>
  <conditionalFormatting sqref="F11:G11">
    <cfRule type="colorScale" priority="10">
      <colorScale>
        <cfvo type="min"/>
        <cfvo type="percentile" val="50"/>
        <cfvo type="max"/>
        <color rgb="FF63BE7B"/>
        <color rgb="FFFFEB84"/>
        <color rgb="FFF8696B"/>
      </colorScale>
    </cfRule>
  </conditionalFormatting>
  <conditionalFormatting sqref="F12:G12">
    <cfRule type="colorScale" priority="9">
      <colorScale>
        <cfvo type="min"/>
        <cfvo type="percentile" val="50"/>
        <cfvo type="max"/>
        <color rgb="FF63BE7B"/>
        <color rgb="FFFFEB84"/>
        <color rgb="FFF8696B"/>
      </colorScale>
    </cfRule>
  </conditionalFormatting>
  <conditionalFormatting sqref="F13:G13">
    <cfRule type="colorScale" priority="8">
      <colorScale>
        <cfvo type="min"/>
        <cfvo type="percentile" val="50"/>
        <cfvo type="max"/>
        <color rgb="FF63BE7B"/>
        <color rgb="FFFFEB84"/>
        <color rgb="FFF8696B"/>
      </colorScale>
    </cfRule>
  </conditionalFormatting>
  <conditionalFormatting sqref="F14:G14">
    <cfRule type="colorScale" priority="7">
      <colorScale>
        <cfvo type="min"/>
        <cfvo type="percentile" val="50"/>
        <cfvo type="max"/>
        <color rgb="FF63BE7B"/>
        <color rgb="FFFFEB84"/>
        <color rgb="FFF8696B"/>
      </colorScale>
    </cfRule>
  </conditionalFormatting>
  <conditionalFormatting sqref="F15:G15">
    <cfRule type="colorScale" priority="6">
      <colorScale>
        <cfvo type="min"/>
        <cfvo type="percentile" val="50"/>
        <cfvo type="max"/>
        <color rgb="FF63BE7B"/>
        <color rgb="FFFFEB84"/>
        <color rgb="FFF8696B"/>
      </colorScale>
    </cfRule>
  </conditionalFormatting>
  <conditionalFormatting sqref="F16:G16">
    <cfRule type="colorScale" priority="5">
      <colorScale>
        <cfvo type="min"/>
        <cfvo type="percentile" val="50"/>
        <cfvo type="max"/>
        <color rgb="FF63BE7B"/>
        <color rgb="FFFFEB84"/>
        <color rgb="FFF8696B"/>
      </colorScale>
    </cfRule>
  </conditionalFormatting>
  <conditionalFormatting sqref="F17:G17">
    <cfRule type="colorScale" priority="4">
      <colorScale>
        <cfvo type="min"/>
        <cfvo type="percentile" val="50"/>
        <cfvo type="max"/>
        <color rgb="FF63BE7B"/>
        <color rgb="FFFFEB84"/>
        <color rgb="FFF8696B"/>
      </colorScale>
    </cfRule>
  </conditionalFormatting>
  <conditionalFormatting sqref="F18:G18">
    <cfRule type="colorScale" priority="3">
      <colorScale>
        <cfvo type="min"/>
        <cfvo type="percentile" val="50"/>
        <cfvo type="max"/>
        <color rgb="FF63BE7B"/>
        <color rgb="FFFFEB84"/>
        <color rgb="FFF8696B"/>
      </colorScale>
    </cfRule>
  </conditionalFormatting>
  <conditionalFormatting sqref="K2:P18">
    <cfRule type="cellIs" dxfId="17" priority="2" operator="notBetween">
      <formula>0.1</formula>
      <formula>-0.1</formula>
    </cfRule>
  </conditionalFormatting>
  <conditionalFormatting sqref="S2:U18">
    <cfRule type="cellIs" dxfId="16" priority="1" operator="notEqual">
      <formula>TRUE</formula>
    </cfRule>
  </conditionalFormatting>
  <dataValidations count="1">
    <dataValidation type="list" allowBlank="1" showInputMessage="1" showErrorMessage="1" sqref="A23" xr:uid="{5ABD37A1-EA38-44A9-B048-7050A6C12C67}">
      <formula1>$A$2:$A$18</formula1>
    </dataValidation>
  </dataValidations>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81719-70BC-436E-8F7B-E4FA2A7F27B3}">
  <dimension ref="A1:U33"/>
  <sheetViews>
    <sheetView topLeftCell="A19" workbookViewId="0">
      <selection activeCell="A22" sqref="A22"/>
    </sheetView>
  </sheetViews>
  <sheetFormatPr baseColWidth="10" defaultColWidth="11.44140625" defaultRowHeight="14.4" x14ac:dyDescent="0.3"/>
  <cols>
    <col min="1" max="1" width="92.88671875" style="185" bestFit="1" customWidth="1"/>
    <col min="2" max="16384" width="11.44140625" style="185"/>
  </cols>
  <sheetData>
    <row r="1" spans="1:21" x14ac:dyDescent="0.3">
      <c r="A1" s="185" t="s">
        <v>890</v>
      </c>
      <c r="B1" s="185" t="s">
        <v>891</v>
      </c>
      <c r="C1" s="185" t="s">
        <v>892</v>
      </c>
      <c r="D1" s="185" t="s">
        <v>893</v>
      </c>
      <c r="E1" s="185" t="s">
        <v>894</v>
      </c>
      <c r="F1" s="185" t="s">
        <v>895</v>
      </c>
      <c r="G1" s="185" t="s">
        <v>896</v>
      </c>
      <c r="H1" s="185" t="s">
        <v>897</v>
      </c>
      <c r="K1" s="185" t="s">
        <v>891</v>
      </c>
      <c r="L1" s="185" t="s">
        <v>892</v>
      </c>
      <c r="M1" s="185" t="s">
        <v>893</v>
      </c>
      <c r="N1" s="185" t="s">
        <v>894</v>
      </c>
      <c r="O1" s="185" t="s">
        <v>895</v>
      </c>
      <c r="P1" s="185" t="s">
        <v>896</v>
      </c>
      <c r="S1" s="185" t="s">
        <v>891</v>
      </c>
      <c r="T1" s="185" t="s">
        <v>893</v>
      </c>
      <c r="U1" s="185" t="s">
        <v>895</v>
      </c>
    </row>
    <row r="2" spans="1:21" x14ac:dyDescent="0.3">
      <c r="A2" s="185" t="s">
        <v>901</v>
      </c>
      <c r="B2" s="191">
        <v>0.36747815915621629</v>
      </c>
      <c r="C2" s="191">
        <v>0.11663823843697931</v>
      </c>
      <c r="D2" s="191">
        <v>0.23584468059194619</v>
      </c>
      <c r="E2" s="191">
        <v>0.1266973547705392</v>
      </c>
      <c r="F2" s="191">
        <v>0.62902997161002983</v>
      </c>
      <c r="G2" s="191">
        <v>0.17891142409026919</v>
      </c>
      <c r="H2" s="185" t="s">
        <v>902</v>
      </c>
      <c r="J2" s="185" t="s">
        <v>901</v>
      </c>
      <c r="K2" s="192">
        <f>(
VLOOKUP($J2,$A$2:$G$18,HLOOKUP(K$1,$B$1:$G$19,19,FALSE)+1,FALSE)
-
VLOOKUP($J2,'Ergebnisse Basisszenario'!$A$1:$H$21,HLOOKUP(K$1,'Ergebnisse Basisszenario'!$B$1:$G$21,21,FALSE)+1,FALSE)
)
/
VLOOKUP($J2,'Ergebnisse Basisszenario'!$A$1:$H$21,HLOOKUP(K$1,'Ergebnisse Basisszenario'!$B$1:$G$21,21,FALSE)+1,FALSE)</f>
        <v>-1.610239851022412E-2</v>
      </c>
      <c r="L2" s="192">
        <f>(
VLOOKUP($J2,$A$2:$G$18,HLOOKUP(L$1,$B$1:$G$19,19,FALSE)+1,FALSE)
-
VLOOKUP($J2,'Ergebnisse Basisszenario'!$A$1:$H$21,HLOOKUP(L$1,'Ergebnisse Basisszenario'!$B$1:$G$21,21,FALSE)+1,FALSE)
)
/
VLOOKUP($J2,'Ergebnisse Basisszenario'!$A$1:$H$21,HLOOKUP(L$1,'Ergebnisse Basisszenario'!$B$1:$G$21,21,FALSE)+1,FALSE)</f>
        <v>-8.4512534220720539E-2</v>
      </c>
      <c r="M2" s="192">
        <f>(
VLOOKUP($J2,$A$2:$G$18,HLOOKUP(M$1,$B$1:$G$19,19,FALSE)+1,FALSE)
-
VLOOKUP($J2,'Ergebnisse Basisszenario'!$A$1:$H$21,HLOOKUP(M$1,'Ergebnisse Basisszenario'!$B$1:$G$21,21,FALSE)+1,FALSE)
)
/
VLOOKUP($J2,'Ergebnisse Basisszenario'!$A$1:$H$21,HLOOKUP(M$1,'Ergebnisse Basisszenario'!$B$1:$G$21,21,FALSE)+1,FALSE)</f>
        <v>-2.4173870751260488E-2</v>
      </c>
      <c r="N2" s="192">
        <f>(
VLOOKUP($J2,$A$2:$G$18,HLOOKUP(N$1,$B$1:$G$19,19,FALSE)+1,FALSE)
-
VLOOKUP($J2,'Ergebnisse Basisszenario'!$A$1:$H$21,HLOOKUP(N$1,'Ergebnisse Basisszenario'!$B$1:$G$21,21,FALSE)+1,FALSE)
)
/
VLOOKUP($J2,'Ergebnisse Basisszenario'!$A$1:$H$21,HLOOKUP(N$1,'Ergebnisse Basisszenario'!$B$1:$G$21,21,FALSE)+1,FALSE)</f>
        <v>-8.6263741273085323E-2</v>
      </c>
      <c r="O2" s="192">
        <f>(
VLOOKUP($J2,$A$2:$G$18,HLOOKUP(O$1,$B$1:$G$19,19,FALSE)+1,FALSE)
-
VLOOKUP($J2,'Ergebnisse Basisszenario'!$A$1:$H$21,HLOOKUP(O$1,'Ergebnisse Basisszenario'!$B$1:$G$21,21,FALSE)+1,FALSE)
)
/
VLOOKUP($J2,'Ergebnisse Basisszenario'!$A$1:$H$21,HLOOKUP(O$1,'Ergebnisse Basisszenario'!$B$1:$G$21,21,FALSE)+1,FALSE)</f>
        <v>-4.9876768937049863E-2</v>
      </c>
      <c r="P2" s="192">
        <f>(
VLOOKUP($J2,$A$2:$G$18,HLOOKUP(P$1,$B$1:$G$19,19,FALSE)+1,FALSE)
-
VLOOKUP($J2,'Ergebnisse Basisszenario'!$A$1:$H$21,HLOOKUP(P$1,'Ergebnisse Basisszenario'!$B$1:$G$21,21,FALSE)+1,FALSE)
)
/
VLOOKUP($J2,'Ergebnisse Basisszenario'!$A$1:$H$21,HLOOKUP(P$1,'Ergebnisse Basisszenario'!$B$1:$G$21,21,FALSE)+1,FALSE)</f>
        <v>-9.5955994641564443E-2</v>
      </c>
      <c r="R2" s="185" t="s">
        <v>901</v>
      </c>
      <c r="S2" s="185" t="b">
        <f>IF(
IF((VLOOKUP($R2,$A$2:$G$18,HLOOKUP(S$1,$B$1:$G$19,19,FALSE)+1,FALSE)-VLOOKUP($R2,$A$2:$G$18,HLOOKUP(S$1,$B$1:$G$19,19,FALSE)+2,FALSE))&lt;0,TRUE,FALSE)
=
IF((VLOOKUP($R2,'Ergebnisse Basisszenario'!$A$2:$G$20,HLOOKUP(S$1,'Ergebnisse Basisszenario'!$B$1:$G$21,21,FALSE)+1,FALSE)-VLOOKUP($R2,'Ergebnisse Basisszenario'!$A$2:$G$20,HLOOKUP(S$1,'Ergebnisse Basisszenario'!$B$1:$G$21,21,FALSE)+2,FALSE))&lt;0,TRUE,FALSE),
TRUE,FALSE)</f>
        <v>1</v>
      </c>
      <c r="T2" s="185" t="b">
        <f>IF(
IF((VLOOKUP($R2,$A$2:$G$18,HLOOKUP(T$1,$B$1:$G$19,19,FALSE)+1,FALSE)-VLOOKUP($R2,$A$2:$G$18,HLOOKUP(T$1,$B$1:$G$19,19,FALSE)+2,FALSE))&lt;0,TRUE,FALSE)
=
IF((VLOOKUP($R2,'Ergebnisse Basisszenario'!$A$2:$G$20,HLOOKUP(T$1,'Ergebnisse Basisszenario'!$B$1:$G$21,21,FALSE)+1,FALSE)-VLOOKUP($R2,'Ergebnisse Basisszenario'!$A$2:$G$20,HLOOKUP(T$1,'Ergebnisse Basisszenario'!$B$1:$G$21,21,FALSE)+2,FALSE))&lt;0,TRUE,FALSE),
TRUE,FALSE)</f>
        <v>1</v>
      </c>
      <c r="U2" s="185" t="b">
        <f>IF(
IF((VLOOKUP($R2,$A$2:$G$18,HLOOKUP(U$1,$B$1:$G$19,19,FALSE)+1,FALSE)-VLOOKUP($R2,$A$2:$G$18,HLOOKUP(U$1,$B$1:$G$19,19,FALSE)+2,FALSE))&lt;0,TRUE,FALSE)
=
IF((VLOOKUP($R2,'Ergebnisse Basisszenario'!$A$2:$G$20,HLOOKUP(U$1,'Ergebnisse Basisszenario'!$B$1:$G$21,21,FALSE)+1,FALSE)-VLOOKUP($R2,'Ergebnisse Basisszenario'!$A$2:$G$20,HLOOKUP(U$1,'Ergebnisse Basisszenario'!$B$1:$G$21,21,FALSE)+2,FALSE))&lt;0,TRUE,FALSE),
TRUE,FALSE)</f>
        <v>1</v>
      </c>
    </row>
    <row r="3" spans="1:21" x14ac:dyDescent="0.3">
      <c r="A3" s="185" t="s">
        <v>903</v>
      </c>
      <c r="B3" s="191">
        <v>95.548214221398865</v>
      </c>
      <c r="C3" s="191">
        <v>53.457333612993281</v>
      </c>
      <c r="D3" s="191">
        <v>102.0490333810599</v>
      </c>
      <c r="E3" s="191">
        <v>62.851682653174677</v>
      </c>
      <c r="F3" s="191">
        <v>224.60123512163989</v>
      </c>
      <c r="G3" s="191">
        <v>90.290234248176006</v>
      </c>
      <c r="H3" s="185" t="s">
        <v>904</v>
      </c>
      <c r="J3" s="185" t="s">
        <v>903</v>
      </c>
      <c r="K3" s="192">
        <f>(
VLOOKUP($J3,$A$2:$G$18,HLOOKUP(K$1,$B$1:$G$19,19,FALSE)+1,FALSE)
-
VLOOKUP($J3,'Ergebnisse Basisszenario'!$A$1:$H$21,HLOOKUP(K$1,'Ergebnisse Basisszenario'!$B$1:$G$21,21,FALSE)+1,FALSE)
)
/
VLOOKUP($J3,'Ergebnisse Basisszenario'!$A$1:$H$21,HLOOKUP(K$1,'Ergebnisse Basisszenario'!$B$1:$G$21,21,FALSE)+1,FALSE)</f>
        <v>1.1861718763085689E-2</v>
      </c>
      <c r="L3" s="192">
        <f>(
VLOOKUP($J3,$A$2:$G$18,HLOOKUP(L$1,$B$1:$G$19,19,FALSE)+1,FALSE)
-
VLOOKUP($J3,'Ergebnisse Basisszenario'!$A$1:$H$21,HLOOKUP(L$1,'Ergebnisse Basisszenario'!$B$1:$G$21,21,FALSE)+1,FALSE)
)
/
VLOOKUP($J3,'Ergebnisse Basisszenario'!$A$1:$H$21,HLOOKUP(L$1,'Ergebnisse Basisszenario'!$B$1:$G$21,21,FALSE)+1,FALSE)</f>
        <v>3.8978960456849371E-2</v>
      </c>
      <c r="M3" s="192">
        <f>(
VLOOKUP($J3,$A$2:$G$18,HLOOKUP(M$1,$B$1:$G$19,19,FALSE)+1,FALSE)
-
VLOOKUP($J3,'Ergebnisse Basisszenario'!$A$1:$H$21,HLOOKUP(M$1,'Ergebnisse Basisszenario'!$B$1:$G$21,21,FALSE)+1,FALSE)
)
/
VLOOKUP($J3,'Ergebnisse Basisszenario'!$A$1:$H$21,HLOOKUP(M$1,'Ergebnisse Basisszenario'!$B$1:$G$21,21,FALSE)+1,FALSE)</f>
        <v>1.0787798454424633E-2</v>
      </c>
      <c r="N3" s="192">
        <f>(
VLOOKUP($J3,$A$2:$G$18,HLOOKUP(N$1,$B$1:$G$19,19,FALSE)+1,FALSE)
-
VLOOKUP($J3,'Ergebnisse Basisszenario'!$A$1:$H$21,HLOOKUP(N$1,'Ergebnisse Basisszenario'!$B$1:$G$21,21,FALSE)+1,FALSE)
)
/
VLOOKUP($J3,'Ergebnisse Basisszenario'!$A$1:$H$21,HLOOKUP(N$1,'Ergebnisse Basisszenario'!$B$1:$G$21,21,FALSE)+1,FALSE)</f>
        <v>3.6771237605569669E-2</v>
      </c>
      <c r="O3" s="192">
        <f>(
VLOOKUP($J3,$A$2:$G$18,HLOOKUP(O$1,$B$1:$G$19,19,FALSE)+1,FALSE)
-
VLOOKUP($J3,'Ergebnisse Basisszenario'!$A$1:$H$21,HLOOKUP(O$1,'Ergebnisse Basisszenario'!$B$1:$G$21,21,FALSE)+1,FALSE)
)
/
VLOOKUP($J3,'Ergebnisse Basisszenario'!$A$1:$H$21,HLOOKUP(O$1,'Ergebnisse Basisszenario'!$B$1:$G$21,21,FALSE)+1,FALSE)</f>
        <v>2.8165169288371299E-2</v>
      </c>
      <c r="P3" s="192">
        <f>(
VLOOKUP($J3,$A$2:$G$18,HLOOKUP(P$1,$B$1:$G$19,19,FALSE)+1,FALSE)
-
VLOOKUP($J3,'Ergebnisse Basisszenario'!$A$1:$H$21,HLOOKUP(P$1,'Ergebnisse Basisszenario'!$B$1:$G$21,21,FALSE)+1,FALSE)
)
/
VLOOKUP($J3,'Ergebnisse Basisszenario'!$A$1:$H$21,HLOOKUP(P$1,'Ergebnisse Basisszenario'!$B$1:$G$21,21,FALSE)+1,FALSE)</f>
        <v>4.0801172780403974E-2</v>
      </c>
      <c r="R3" s="185" t="s">
        <v>903</v>
      </c>
      <c r="S3" s="185" t="b">
        <f>IF(
IF((VLOOKUP($R3,$A$2:$G$18,HLOOKUP(S$1,$B$1:$G$19,19,FALSE)+1,FALSE)-VLOOKUP($R3,$A$2:$G$18,HLOOKUP(S$1,$B$1:$G$19,19,FALSE)+2,FALSE))&lt;0,TRUE,FALSE)
=
IF((VLOOKUP($R3,'Ergebnisse Basisszenario'!$A$2:$G$20,HLOOKUP(S$1,'Ergebnisse Basisszenario'!$B$1:$G$21,21,FALSE)+1,FALSE)-VLOOKUP($R3,'Ergebnisse Basisszenario'!$A$2:$G$20,HLOOKUP(S$1,'Ergebnisse Basisszenario'!$B$1:$G$21,21,FALSE)+2,FALSE))&lt;0,TRUE,FALSE),
TRUE,FALSE)</f>
        <v>1</v>
      </c>
      <c r="T3" s="185" t="b">
        <f>IF(
IF((VLOOKUP($R3,$A$2:$G$18,HLOOKUP(T$1,$B$1:$G$19,19,FALSE)+1,FALSE)-VLOOKUP($R3,$A$2:$G$18,HLOOKUP(T$1,$B$1:$G$19,19,FALSE)+2,FALSE))&lt;0,TRUE,FALSE)
=
IF((VLOOKUP($R3,'Ergebnisse Basisszenario'!$A$2:$G$20,HLOOKUP(T$1,'Ergebnisse Basisszenario'!$B$1:$G$21,21,FALSE)+1,FALSE)-VLOOKUP($R3,'Ergebnisse Basisszenario'!$A$2:$G$20,HLOOKUP(T$1,'Ergebnisse Basisszenario'!$B$1:$G$21,21,FALSE)+2,FALSE))&lt;0,TRUE,FALSE),
TRUE,FALSE)</f>
        <v>1</v>
      </c>
      <c r="U3" s="185" t="b">
        <f>IF(
IF((VLOOKUP($R3,$A$2:$G$18,HLOOKUP(U$1,$B$1:$G$19,19,FALSE)+1,FALSE)-VLOOKUP($R3,$A$2:$G$18,HLOOKUP(U$1,$B$1:$G$19,19,FALSE)+2,FALSE))&lt;0,TRUE,FALSE)
=
IF((VLOOKUP($R3,'Ergebnisse Basisszenario'!$A$2:$G$20,HLOOKUP(U$1,'Ergebnisse Basisszenario'!$B$1:$G$21,21,FALSE)+1,FALSE)-VLOOKUP($R3,'Ergebnisse Basisszenario'!$A$2:$G$20,HLOOKUP(U$1,'Ergebnisse Basisszenario'!$B$1:$G$21,21,FALSE)+2,FALSE))&lt;0,TRUE,FALSE),
TRUE,FALSE)</f>
        <v>1</v>
      </c>
    </row>
    <row r="4" spans="1:21" x14ac:dyDescent="0.3">
      <c r="A4" s="185" t="s">
        <v>906</v>
      </c>
      <c r="B4" s="191">
        <v>93.091402350746392</v>
      </c>
      <c r="C4" s="191">
        <v>53.26785924438073</v>
      </c>
      <c r="D4" s="191">
        <v>101.8338086649192</v>
      </c>
      <c r="E4" s="191">
        <v>62.646424317907282</v>
      </c>
      <c r="F4" s="191">
        <v>222.68816993274061</v>
      </c>
      <c r="G4" s="191">
        <v>89.980080620738264</v>
      </c>
      <c r="H4" s="185" t="s">
        <v>904</v>
      </c>
      <c r="J4" s="185" t="s">
        <v>906</v>
      </c>
      <c r="K4" s="192">
        <f>(
VLOOKUP($J4,$A$2:$G$18,HLOOKUP(K$1,$B$1:$G$19,19,FALSE)+1,FALSE)
-
VLOOKUP($J4,'Ergebnisse Basisszenario'!$A$1:$H$21,HLOOKUP(K$1,'Ergebnisse Basisszenario'!$B$1:$G$21,21,FALSE)+1,FALSE)
)
/
VLOOKUP($J4,'Ergebnisse Basisszenario'!$A$1:$H$21,HLOOKUP(K$1,'Ergebnisse Basisszenario'!$B$1:$G$21,21,FALSE)+1,FALSE)</f>
        <v>1.3147583675569305E-2</v>
      </c>
      <c r="L4" s="192">
        <f>(
VLOOKUP($J4,$A$2:$G$18,HLOOKUP(L$1,$B$1:$G$19,19,FALSE)+1,FALSE)
-
VLOOKUP($J4,'Ergebnisse Basisszenario'!$A$1:$H$21,HLOOKUP(L$1,'Ergebnisse Basisszenario'!$B$1:$G$21,21,FALSE)+1,FALSE)
)
/
VLOOKUP($J4,'Ergebnisse Basisszenario'!$A$1:$H$21,HLOOKUP(L$1,'Ergebnisse Basisszenario'!$B$1:$G$21,21,FALSE)+1,FALSE)</f>
        <v>4.2325265748823226E-2</v>
      </c>
      <c r="M4" s="192">
        <f>(
VLOOKUP($J4,$A$2:$G$18,HLOOKUP(M$1,$B$1:$G$19,19,FALSE)+1,FALSE)
-
VLOOKUP($J4,'Ergebnisse Basisszenario'!$A$1:$H$21,HLOOKUP(M$1,'Ergebnisse Basisszenario'!$B$1:$G$21,21,FALSE)+1,FALSE)
)
/
VLOOKUP($J4,'Ergebnisse Basisszenario'!$A$1:$H$21,HLOOKUP(M$1,'Ergebnisse Basisszenario'!$B$1:$G$21,21,FALSE)+1,FALSE)</f>
        <v>1.166905100160814E-2</v>
      </c>
      <c r="N4" s="192">
        <f>(
VLOOKUP($J4,$A$2:$G$18,HLOOKUP(N$1,$B$1:$G$19,19,FALSE)+1,FALSE)
-
VLOOKUP($J4,'Ergebnisse Basisszenario'!$A$1:$H$21,HLOOKUP(N$1,'Ergebnisse Basisszenario'!$B$1:$G$21,21,FALSE)+1,FALSE)
)
/
VLOOKUP($J4,'Ergebnisse Basisszenario'!$A$1:$H$21,HLOOKUP(N$1,'Ergebnisse Basisszenario'!$B$1:$G$21,21,FALSE)+1,FALSE)</f>
        <v>3.9907588836056843E-2</v>
      </c>
      <c r="O4" s="192">
        <f>(
VLOOKUP($J4,$A$2:$G$18,HLOOKUP(O$1,$B$1:$G$19,19,FALSE)+1,FALSE)
-
VLOOKUP($J4,'Ergebnisse Basisszenario'!$A$1:$H$21,HLOOKUP(O$1,'Ergebnisse Basisszenario'!$B$1:$G$21,21,FALSE)+1,FALSE)
)
/
VLOOKUP($J4,'Ergebnisse Basisszenario'!$A$1:$H$21,HLOOKUP(O$1,'Ergebnisse Basisszenario'!$B$1:$G$21,21,FALSE)+1,FALSE)</f>
        <v>3.0713074497144995E-2</v>
      </c>
      <c r="P4" s="192">
        <f>(
VLOOKUP($J4,$A$2:$G$18,HLOOKUP(P$1,$B$1:$G$19,19,FALSE)+1,FALSE)
-
VLOOKUP($J4,'Ergebnisse Basisszenario'!$A$1:$H$21,HLOOKUP(P$1,'Ergebnisse Basisszenario'!$B$1:$G$21,21,FALSE)+1,FALSE)
)
/
VLOOKUP($J4,'Ergebnisse Basisszenario'!$A$1:$H$21,HLOOKUP(P$1,'Ergebnisse Basisszenario'!$B$1:$G$21,21,FALSE)+1,FALSE)</f>
        <v>4.4303394897111811E-2</v>
      </c>
      <c r="R4" s="185" t="s">
        <v>906</v>
      </c>
      <c r="S4" s="185" t="b">
        <f>IF(
IF((VLOOKUP($R4,$A$2:$G$18,HLOOKUP(S$1,$B$1:$G$19,19,FALSE)+1,FALSE)-VLOOKUP($R4,$A$2:$G$18,HLOOKUP(S$1,$B$1:$G$19,19,FALSE)+2,FALSE))&lt;0,TRUE,FALSE)
=
IF((VLOOKUP($R4,'Ergebnisse Basisszenario'!$A$2:$G$20,HLOOKUP(S$1,'Ergebnisse Basisszenario'!$B$1:$G$21,21,FALSE)+1,FALSE)-VLOOKUP($R4,'Ergebnisse Basisszenario'!$A$2:$G$20,HLOOKUP(S$1,'Ergebnisse Basisszenario'!$B$1:$G$21,21,FALSE)+2,FALSE))&lt;0,TRUE,FALSE),
TRUE,FALSE)</f>
        <v>1</v>
      </c>
      <c r="T4" s="185" t="b">
        <f>IF(
IF((VLOOKUP($R4,$A$2:$G$18,HLOOKUP(T$1,$B$1:$G$19,19,FALSE)+1,FALSE)-VLOOKUP($R4,$A$2:$G$18,HLOOKUP(T$1,$B$1:$G$19,19,FALSE)+2,FALSE))&lt;0,TRUE,FALSE)
=
IF((VLOOKUP($R4,'Ergebnisse Basisszenario'!$A$2:$G$20,HLOOKUP(T$1,'Ergebnisse Basisszenario'!$B$1:$G$21,21,FALSE)+1,FALSE)-VLOOKUP($R4,'Ergebnisse Basisszenario'!$A$2:$G$20,HLOOKUP(T$1,'Ergebnisse Basisszenario'!$B$1:$G$21,21,FALSE)+2,FALSE))&lt;0,TRUE,FALSE),
TRUE,FALSE)</f>
        <v>1</v>
      </c>
      <c r="U4" s="185" t="b">
        <f>IF(
IF((VLOOKUP($R4,$A$2:$G$18,HLOOKUP(U$1,$B$1:$G$19,19,FALSE)+1,FALSE)-VLOOKUP($R4,$A$2:$G$18,HLOOKUP(U$1,$B$1:$G$19,19,FALSE)+2,FALSE))&lt;0,TRUE,FALSE)
=
IF((VLOOKUP($R4,'Ergebnisse Basisszenario'!$A$2:$G$20,HLOOKUP(U$1,'Ergebnisse Basisszenario'!$B$1:$G$21,21,FALSE)+1,FALSE)-VLOOKUP($R4,'Ergebnisse Basisszenario'!$A$2:$G$20,HLOOKUP(U$1,'Ergebnisse Basisszenario'!$B$1:$G$21,21,FALSE)+2,FALSE))&lt;0,TRUE,FALSE),
TRUE,FALSE)</f>
        <v>1</v>
      </c>
    </row>
    <row r="5" spans="1:21" x14ac:dyDescent="0.3">
      <c r="A5" s="185" t="s">
        <v>908</v>
      </c>
      <c r="B5" s="191">
        <v>3552.155131458821</v>
      </c>
      <c r="C5" s="191">
        <v>515.60375508900404</v>
      </c>
      <c r="D5" s="191">
        <v>795.13417667121314</v>
      </c>
      <c r="E5" s="191">
        <v>528.7541114996684</v>
      </c>
      <c r="F5" s="191">
        <v>3547.5449048604519</v>
      </c>
      <c r="G5" s="191">
        <v>759.92355873696783</v>
      </c>
      <c r="H5" s="185" t="s">
        <v>909</v>
      </c>
      <c r="J5" s="185" t="s">
        <v>908</v>
      </c>
      <c r="K5" s="192">
        <f>(
VLOOKUP($J5,$A$2:$G$18,HLOOKUP(K$1,$B$1:$G$19,19,FALSE)+1,FALSE)
-
VLOOKUP($J5,'Ergebnisse Basisszenario'!$A$1:$H$21,HLOOKUP(K$1,'Ergebnisse Basisszenario'!$B$1:$G$21,21,FALSE)+1,FALSE)
)
/
VLOOKUP($J5,'Ergebnisse Basisszenario'!$A$1:$H$21,HLOOKUP(K$1,'Ergebnisse Basisszenario'!$B$1:$G$21,21,FALSE)+1,FALSE)</f>
        <v>-1.8681157061212635E-3</v>
      </c>
      <c r="L5" s="192">
        <f>(
VLOOKUP($J5,$A$2:$G$18,HLOOKUP(L$1,$B$1:$G$19,19,FALSE)+1,FALSE)
-
VLOOKUP($J5,'Ergebnisse Basisszenario'!$A$1:$H$21,HLOOKUP(L$1,'Ergebnisse Basisszenario'!$B$1:$G$21,21,FALSE)+1,FALSE)
)
/
VLOOKUP($J5,'Ergebnisse Basisszenario'!$A$1:$H$21,HLOOKUP(L$1,'Ergebnisse Basisszenario'!$B$1:$G$21,21,FALSE)+1,FALSE)</f>
        <v>-2.2566175950388134E-2</v>
      </c>
      <c r="M5" s="192">
        <f>(
VLOOKUP($J5,$A$2:$G$18,HLOOKUP(M$1,$B$1:$G$19,19,FALSE)+1,FALSE)
-
VLOOKUP($J5,'Ergebnisse Basisszenario'!$A$1:$H$21,HLOOKUP(M$1,'Ergebnisse Basisszenario'!$B$1:$G$21,21,FALSE)+1,FALSE)
)
/
VLOOKUP($J5,'Ergebnisse Basisszenario'!$A$1:$H$21,HLOOKUP(M$1,'Ergebnisse Basisszenario'!$B$1:$G$21,21,FALSE)+1,FALSE)</f>
        <v>-8.0641311641728997E-3</v>
      </c>
      <c r="N5" s="192">
        <f>(
VLOOKUP($J5,$A$2:$G$18,HLOOKUP(N$1,$B$1:$G$19,19,FALSE)+1,FALSE)
-
VLOOKUP($J5,'Ergebnisse Basisszenario'!$A$1:$H$21,HLOOKUP(N$1,'Ergebnisse Basisszenario'!$B$1:$G$21,21,FALSE)+1,FALSE)
)
/
VLOOKUP($J5,'Ergebnisse Basisszenario'!$A$1:$H$21,HLOOKUP(N$1,'Ergebnisse Basisszenario'!$B$1:$G$21,21,FALSE)+1,FALSE)</f>
        <v>-2.4411539351121447E-2</v>
      </c>
      <c r="O5" s="192">
        <f>(
VLOOKUP($J5,$A$2:$G$18,HLOOKUP(O$1,$B$1:$G$19,19,FALSE)+1,FALSE)
-
VLOOKUP($J5,'Ergebnisse Basisszenario'!$A$1:$H$21,HLOOKUP(O$1,'Ergebnisse Basisszenario'!$B$1:$G$21,21,FALSE)+1,FALSE)
)
/
VLOOKUP($J5,'Ergebnisse Basisszenario'!$A$1:$H$21,HLOOKUP(O$1,'Ergebnisse Basisszenario'!$B$1:$G$21,21,FALSE)+1,FALSE)</f>
        <v>-1.0189014295347713E-2</v>
      </c>
      <c r="P5" s="192">
        <f>(
VLOOKUP($J5,$A$2:$G$18,HLOOKUP(P$1,$B$1:$G$19,19,FALSE)+1,FALSE)
-
VLOOKUP($J5,'Ergebnisse Basisszenario'!$A$1:$H$21,HLOOKUP(P$1,'Ergebnisse Basisszenario'!$B$1:$G$21,21,FALSE)+1,FALSE)
)
/
VLOOKUP($J5,'Ergebnisse Basisszenario'!$A$1:$H$21,HLOOKUP(P$1,'Ergebnisse Basisszenario'!$B$1:$G$21,21,FALSE)+1,FALSE)</f>
        <v>-2.6901041138136825E-2</v>
      </c>
      <c r="R5" s="185" t="s">
        <v>908</v>
      </c>
      <c r="S5" s="185" t="b">
        <f>IF(
IF((VLOOKUP($R5,$A$2:$G$18,HLOOKUP(S$1,$B$1:$G$19,19,FALSE)+1,FALSE)-VLOOKUP($R5,$A$2:$G$18,HLOOKUP(S$1,$B$1:$G$19,19,FALSE)+2,FALSE))&lt;0,TRUE,FALSE)
=
IF((VLOOKUP($R5,'Ergebnisse Basisszenario'!$A$2:$G$20,HLOOKUP(S$1,'Ergebnisse Basisszenario'!$B$1:$G$21,21,FALSE)+1,FALSE)-VLOOKUP($R5,'Ergebnisse Basisszenario'!$A$2:$G$20,HLOOKUP(S$1,'Ergebnisse Basisszenario'!$B$1:$G$21,21,FALSE)+2,FALSE))&lt;0,TRUE,FALSE),
TRUE,FALSE)</f>
        <v>1</v>
      </c>
      <c r="T5" s="185" t="b">
        <f>IF(
IF((VLOOKUP($R5,$A$2:$G$18,HLOOKUP(T$1,$B$1:$G$19,19,FALSE)+1,FALSE)-VLOOKUP($R5,$A$2:$G$18,HLOOKUP(T$1,$B$1:$G$19,19,FALSE)+2,FALSE))&lt;0,TRUE,FALSE)
=
IF((VLOOKUP($R5,'Ergebnisse Basisszenario'!$A$2:$G$20,HLOOKUP(T$1,'Ergebnisse Basisszenario'!$B$1:$G$21,21,FALSE)+1,FALSE)-VLOOKUP($R5,'Ergebnisse Basisszenario'!$A$2:$G$20,HLOOKUP(T$1,'Ergebnisse Basisszenario'!$B$1:$G$21,21,FALSE)+2,FALSE))&lt;0,TRUE,FALSE),
TRUE,FALSE)</f>
        <v>1</v>
      </c>
      <c r="U5" s="185" t="b">
        <f>IF(
IF((VLOOKUP($R5,$A$2:$G$18,HLOOKUP(U$1,$B$1:$G$19,19,FALSE)+1,FALSE)-VLOOKUP($R5,$A$2:$G$18,HLOOKUP(U$1,$B$1:$G$19,19,FALSE)+2,FALSE))&lt;0,TRUE,FALSE)
=
IF((VLOOKUP($R5,'Ergebnisse Basisszenario'!$A$2:$G$20,HLOOKUP(U$1,'Ergebnisse Basisszenario'!$B$1:$G$21,21,FALSE)+1,FALSE)-VLOOKUP($R5,'Ergebnisse Basisszenario'!$A$2:$G$20,HLOOKUP(U$1,'Ergebnisse Basisszenario'!$B$1:$G$21,21,FALSE)+2,FALSE))&lt;0,TRUE,FALSE),
TRUE,FALSE)</f>
        <v>1</v>
      </c>
    </row>
    <row r="6" spans="1:21" x14ac:dyDescent="0.3">
      <c r="A6" s="185" t="s">
        <v>910</v>
      </c>
      <c r="B6" s="191">
        <v>1180.5674603732859</v>
      </c>
      <c r="C6" s="191">
        <v>788.57697279065349</v>
      </c>
      <c r="D6" s="191">
        <v>1433.0541406707721</v>
      </c>
      <c r="E6" s="191">
        <v>915.27315719285707</v>
      </c>
      <c r="F6" s="191">
        <v>3103.0156954445351</v>
      </c>
      <c r="G6" s="191">
        <v>1323.347778960298</v>
      </c>
      <c r="H6" s="185" t="s">
        <v>911</v>
      </c>
      <c r="J6" s="185" t="s">
        <v>910</v>
      </c>
      <c r="K6" s="192">
        <f>(
VLOOKUP($J6,$A$2:$G$18,HLOOKUP(K$1,$B$1:$G$19,19,FALSE)+1,FALSE)
-
VLOOKUP($J6,'Ergebnisse Basisszenario'!$A$1:$H$21,HLOOKUP(K$1,'Ergebnisse Basisszenario'!$B$1:$G$21,21,FALSE)+1,FALSE)
)
/
VLOOKUP($J6,'Ergebnisse Basisszenario'!$A$1:$H$21,HLOOKUP(K$1,'Ergebnisse Basisszenario'!$B$1:$G$21,21,FALSE)+1,FALSE)</f>
        <v>-3.7071452000679433E-3</v>
      </c>
      <c r="L6" s="192">
        <f>(
VLOOKUP($J6,$A$2:$G$18,HLOOKUP(L$1,$B$1:$G$19,19,FALSE)+1,FALSE)
-
VLOOKUP($J6,'Ergebnisse Basisszenario'!$A$1:$H$21,HLOOKUP(L$1,'Ergebnisse Basisszenario'!$B$1:$G$21,21,FALSE)+1,FALSE)
)
/
VLOOKUP($J6,'Ergebnisse Basisszenario'!$A$1:$H$21,HLOOKUP(L$1,'Ergebnisse Basisszenario'!$B$1:$G$21,21,FALSE)+1,FALSE)</f>
        <v>-9.8699327976607271E-3</v>
      </c>
      <c r="M6" s="192">
        <f>(
VLOOKUP($J6,$A$2:$G$18,HLOOKUP(M$1,$B$1:$G$19,19,FALSE)+1,FALSE)
-
VLOOKUP($J6,'Ergebnisse Basisszenario'!$A$1:$H$21,HLOOKUP(M$1,'Ergebnisse Basisszenario'!$B$1:$G$21,21,FALSE)+1,FALSE)
)
/
VLOOKUP($J6,'Ergebnisse Basisszenario'!$A$1:$H$21,HLOOKUP(M$1,'Ergebnisse Basisszenario'!$B$1:$G$21,21,FALSE)+1,FALSE)</f>
        <v>-2.9556519533227672E-3</v>
      </c>
      <c r="N6" s="192">
        <f>(
VLOOKUP($J6,$A$2:$G$18,HLOOKUP(N$1,$B$1:$G$19,19,FALSE)+1,FALSE)
-
VLOOKUP($J6,'Ergebnisse Basisszenario'!$A$1:$H$21,HLOOKUP(N$1,'Ergebnisse Basisszenario'!$B$1:$G$21,21,FALSE)+1,FALSE)
)
/
VLOOKUP($J6,'Ergebnisse Basisszenario'!$A$1:$H$21,HLOOKUP(N$1,'Ergebnisse Basisszenario'!$B$1:$G$21,21,FALSE)+1,FALSE)</f>
        <v>-9.4247942733853476E-3</v>
      </c>
      <c r="O6" s="192">
        <f>(
VLOOKUP($J6,$A$2:$G$18,HLOOKUP(O$1,$B$1:$G$19,19,FALSE)+1,FALSE)
-
VLOOKUP($J6,'Ergebnisse Basisszenario'!$A$1:$H$21,HLOOKUP(O$1,'Ergebnisse Basisszenario'!$B$1:$G$21,21,FALSE)+1,FALSE)
)
/
VLOOKUP($J6,'Ergebnisse Basisszenario'!$A$1:$H$21,HLOOKUP(O$1,'Ergebnisse Basisszenario'!$B$1:$G$21,21,FALSE)+1,FALSE)</f>
        <v>-7.6961653596496673E-3</v>
      </c>
      <c r="P6" s="192">
        <f>(
VLOOKUP($J6,$A$2:$G$18,HLOOKUP(P$1,$B$1:$G$19,19,FALSE)+1,FALSE)
-
VLOOKUP($J6,'Ergebnisse Basisszenario'!$A$1:$H$21,HLOOKUP(P$1,'Ergebnisse Basisszenario'!$B$1:$G$21,21,FALSE)+1,FALSE)
)
/
VLOOKUP($J6,'Ergebnisse Basisszenario'!$A$1:$H$21,HLOOKUP(P$1,'Ergebnisse Basisszenario'!$B$1:$G$21,21,FALSE)+1,FALSE)</f>
        <v>-1.0332716108304815E-2</v>
      </c>
      <c r="R6" s="185" t="s">
        <v>910</v>
      </c>
      <c r="S6" s="185" t="b">
        <f>IF(
IF((VLOOKUP($R6,$A$2:$G$18,HLOOKUP(S$1,$B$1:$G$19,19,FALSE)+1,FALSE)-VLOOKUP($R6,$A$2:$G$18,HLOOKUP(S$1,$B$1:$G$19,19,FALSE)+2,FALSE))&lt;0,TRUE,FALSE)
=
IF((VLOOKUP($R6,'Ergebnisse Basisszenario'!$A$2:$G$20,HLOOKUP(S$1,'Ergebnisse Basisszenario'!$B$1:$G$21,21,FALSE)+1,FALSE)-VLOOKUP($R6,'Ergebnisse Basisszenario'!$A$2:$G$20,HLOOKUP(S$1,'Ergebnisse Basisszenario'!$B$1:$G$21,21,FALSE)+2,FALSE))&lt;0,TRUE,FALSE),
TRUE,FALSE)</f>
        <v>1</v>
      </c>
      <c r="T6" s="185" t="b">
        <f>IF(
IF((VLOOKUP($R6,$A$2:$G$18,HLOOKUP(T$1,$B$1:$G$19,19,FALSE)+1,FALSE)-VLOOKUP($R6,$A$2:$G$18,HLOOKUP(T$1,$B$1:$G$19,19,FALSE)+2,FALSE))&lt;0,TRUE,FALSE)
=
IF((VLOOKUP($R6,'Ergebnisse Basisszenario'!$A$2:$G$20,HLOOKUP(T$1,'Ergebnisse Basisszenario'!$B$1:$G$21,21,FALSE)+1,FALSE)-VLOOKUP($R6,'Ergebnisse Basisszenario'!$A$2:$G$20,HLOOKUP(T$1,'Ergebnisse Basisszenario'!$B$1:$G$21,21,FALSE)+2,FALSE))&lt;0,TRUE,FALSE),
TRUE,FALSE)</f>
        <v>1</v>
      </c>
      <c r="U6" s="185" t="b">
        <f>IF(
IF((VLOOKUP($R6,$A$2:$G$18,HLOOKUP(U$1,$B$1:$G$19,19,FALSE)+1,FALSE)-VLOOKUP($R6,$A$2:$G$18,HLOOKUP(U$1,$B$1:$G$19,19,FALSE)+2,FALSE))&lt;0,TRUE,FALSE)
=
IF((VLOOKUP($R6,'Ergebnisse Basisszenario'!$A$2:$G$20,HLOOKUP(U$1,'Ergebnisse Basisszenario'!$B$1:$G$21,21,FALSE)+1,FALSE)-VLOOKUP($R6,'Ergebnisse Basisszenario'!$A$2:$G$20,HLOOKUP(U$1,'Ergebnisse Basisszenario'!$B$1:$G$21,21,FALSE)+2,FALSE))&lt;0,TRUE,FALSE),
TRUE,FALSE)</f>
        <v>1</v>
      </c>
    </row>
    <row r="7" spans="1:21" x14ac:dyDescent="0.3">
      <c r="A7" s="185" t="s">
        <v>912</v>
      </c>
      <c r="B7" s="191">
        <v>3.5786898728081981E-2</v>
      </c>
      <c r="C7" s="191">
        <v>1.723109737747586E-2</v>
      </c>
      <c r="D7" s="191">
        <v>1.9177180394943202E-2</v>
      </c>
      <c r="E7" s="191">
        <v>1.9078856728315531E-2</v>
      </c>
      <c r="F7" s="191">
        <v>7.727330367334781E-2</v>
      </c>
      <c r="G7" s="191">
        <v>2.895714643938542E-2</v>
      </c>
      <c r="H7" s="185" t="s">
        <v>913</v>
      </c>
      <c r="J7" s="185" t="s">
        <v>912</v>
      </c>
      <c r="K7" s="192">
        <f>(
VLOOKUP($J7,$A$2:$G$18,HLOOKUP(K$1,$B$1:$G$19,19,FALSE)+1,FALSE)
-
VLOOKUP($J7,'Ergebnisse Basisszenario'!$A$1:$H$21,HLOOKUP(K$1,'Ergebnisse Basisszenario'!$B$1:$G$21,21,FALSE)+1,FALSE)
)
/
VLOOKUP($J7,'Ergebnisse Basisszenario'!$A$1:$H$21,HLOOKUP(K$1,'Ergebnisse Basisszenario'!$B$1:$G$21,21,FALSE)+1,FALSE)</f>
        <v>-0.2001439406560182</v>
      </c>
      <c r="L7" s="192">
        <f>(
VLOOKUP($J7,$A$2:$G$18,HLOOKUP(L$1,$B$1:$G$19,19,FALSE)+1,FALSE)
-
VLOOKUP($J7,'Ergebnisse Basisszenario'!$A$1:$H$21,HLOOKUP(L$1,'Ergebnisse Basisszenario'!$B$1:$G$21,21,FALSE)+1,FALSE)
)
/
VLOOKUP($J7,'Ergebnisse Basisszenario'!$A$1:$H$21,HLOOKUP(L$1,'Ergebnisse Basisszenario'!$B$1:$G$21,21,FALSE)+1,FALSE)</f>
        <v>-0.48198072761154831</v>
      </c>
      <c r="M7" s="192">
        <f>(
VLOOKUP($J7,$A$2:$G$18,HLOOKUP(M$1,$B$1:$G$19,19,FALSE)+1,FALSE)
-
VLOOKUP($J7,'Ergebnisse Basisszenario'!$A$1:$H$21,HLOOKUP(M$1,'Ergebnisse Basisszenario'!$B$1:$G$21,21,FALSE)+1,FALSE)
)
/
VLOOKUP($J7,'Ergebnisse Basisszenario'!$A$1:$H$21,HLOOKUP(M$1,'Ergebnisse Basisszenario'!$B$1:$G$21,21,FALSE)+1,FALSE)</f>
        <v>-0.31208551696026832</v>
      </c>
      <c r="N7" s="192">
        <f>(
VLOOKUP($J7,$A$2:$G$18,HLOOKUP(N$1,$B$1:$G$19,19,FALSE)+1,FALSE)
-
VLOOKUP($J7,'Ergebnisse Basisszenario'!$A$1:$H$21,HLOOKUP(N$1,'Ergebnisse Basisszenario'!$B$1:$G$21,21,FALSE)+1,FALSE)
)
/
VLOOKUP($J7,'Ergebnisse Basisszenario'!$A$1:$H$21,HLOOKUP(N$1,'Ergebnisse Basisszenario'!$B$1:$G$21,21,FALSE)+1,FALSE)</f>
        <v>-0.4828150544631073</v>
      </c>
      <c r="O7" s="192">
        <f>(
VLOOKUP($J7,$A$2:$G$18,HLOOKUP(O$1,$B$1:$G$19,19,FALSE)+1,FALSE)
-
VLOOKUP($J7,'Ergebnisse Basisszenario'!$A$1:$H$21,HLOOKUP(O$1,'Ergebnisse Basisszenario'!$B$1:$G$21,21,FALSE)+1,FALSE)
)
/
VLOOKUP($J7,'Ergebnisse Basisszenario'!$A$1:$H$21,HLOOKUP(O$1,'Ergebnisse Basisszenario'!$B$1:$G$21,21,FALSE)+1,FALSE)</f>
        <v>-0.38886556799572941</v>
      </c>
      <c r="P7" s="192">
        <f>(
VLOOKUP($J7,$A$2:$G$18,HLOOKUP(P$1,$B$1:$G$19,19,FALSE)+1,FALSE)
-
VLOOKUP($J7,'Ergebnisse Basisszenario'!$A$1:$H$21,HLOOKUP(P$1,'Ergebnisse Basisszenario'!$B$1:$G$21,21,FALSE)+1,FALSE)
)
/
VLOOKUP($J7,'Ergebnisse Basisszenario'!$A$1:$H$21,HLOOKUP(P$1,'Ergebnisse Basisszenario'!$B$1:$G$21,21,FALSE)+1,FALSE)</f>
        <v>-0.49406138642211445</v>
      </c>
      <c r="R7" s="185" t="s">
        <v>912</v>
      </c>
      <c r="S7" s="185" t="b">
        <f>IF(
IF((VLOOKUP($R7,$A$2:$G$18,HLOOKUP(S$1,$B$1:$G$19,19,FALSE)+1,FALSE)-VLOOKUP($R7,$A$2:$G$18,HLOOKUP(S$1,$B$1:$G$19,19,FALSE)+2,FALSE))&lt;0,TRUE,FALSE)
=
IF((VLOOKUP($R7,'Ergebnisse Basisszenario'!$A$2:$G$20,HLOOKUP(S$1,'Ergebnisse Basisszenario'!$B$1:$G$21,21,FALSE)+1,FALSE)-VLOOKUP($R7,'Ergebnisse Basisszenario'!$A$2:$G$20,HLOOKUP(S$1,'Ergebnisse Basisszenario'!$B$1:$G$21,21,FALSE)+2,FALSE))&lt;0,TRUE,FALSE),
TRUE,FALSE)</f>
        <v>1</v>
      </c>
      <c r="T7" s="185" t="b">
        <f>IF(
IF((VLOOKUP($R7,$A$2:$G$18,HLOOKUP(T$1,$B$1:$G$19,19,FALSE)+1,FALSE)-VLOOKUP($R7,$A$2:$G$18,HLOOKUP(T$1,$B$1:$G$19,19,FALSE)+2,FALSE))&lt;0,TRUE,FALSE)
=
IF((VLOOKUP($R7,'Ergebnisse Basisszenario'!$A$2:$G$20,HLOOKUP(T$1,'Ergebnisse Basisszenario'!$B$1:$G$21,21,FALSE)+1,FALSE)-VLOOKUP($R7,'Ergebnisse Basisszenario'!$A$2:$G$20,HLOOKUP(T$1,'Ergebnisse Basisszenario'!$B$1:$G$21,21,FALSE)+2,FALSE))&lt;0,TRUE,FALSE),
TRUE,FALSE)</f>
        <v>0</v>
      </c>
      <c r="U7" s="185" t="b">
        <f>IF(
IF((VLOOKUP($R7,$A$2:$G$18,HLOOKUP(U$1,$B$1:$G$19,19,FALSE)+1,FALSE)-VLOOKUP($R7,$A$2:$G$18,HLOOKUP(U$1,$B$1:$G$19,19,FALSE)+2,FALSE))&lt;0,TRUE,FALSE)
=
IF((VLOOKUP($R7,'Ergebnisse Basisszenario'!$A$2:$G$20,HLOOKUP(U$1,'Ergebnisse Basisszenario'!$B$1:$G$21,21,FALSE)+1,FALSE)-VLOOKUP($R7,'Ergebnisse Basisszenario'!$A$2:$G$20,HLOOKUP(U$1,'Ergebnisse Basisszenario'!$B$1:$G$21,21,FALSE)+2,FALSE))&lt;0,TRUE,FALSE),
TRUE,FALSE)</f>
        <v>1</v>
      </c>
    </row>
    <row r="8" spans="1:21" x14ac:dyDescent="0.3">
      <c r="A8" s="185" t="s">
        <v>914</v>
      </c>
      <c r="B8" s="191">
        <v>9.4094944806087627E-2</v>
      </c>
      <c r="C8" s="191">
        <v>2.626924886746889E-2</v>
      </c>
      <c r="D8" s="191">
        <v>4.817394989093747E-2</v>
      </c>
      <c r="E8" s="191">
        <v>2.8456533362526931E-2</v>
      </c>
      <c r="F8" s="191">
        <v>0.15720375615207749</v>
      </c>
      <c r="G8" s="191">
        <v>4.0312579386158773E-2</v>
      </c>
      <c r="H8" s="185" t="s">
        <v>915</v>
      </c>
      <c r="J8" s="185" t="s">
        <v>914</v>
      </c>
      <c r="K8" s="192">
        <f>(
VLOOKUP($J8,$A$2:$G$18,HLOOKUP(K$1,$B$1:$G$19,19,FALSE)+1,FALSE)
-
VLOOKUP($J8,'Ergebnisse Basisszenario'!$A$1:$H$21,HLOOKUP(K$1,'Ergebnisse Basisszenario'!$B$1:$G$21,21,FALSE)+1,FALSE)
)
/
VLOOKUP($J8,'Ergebnisse Basisszenario'!$A$1:$H$21,HLOOKUP(K$1,'Ergebnisse Basisszenario'!$B$1:$G$21,21,FALSE)+1,FALSE)</f>
        <v>-3.1311016195503957E-2</v>
      </c>
      <c r="L8" s="192">
        <f>(
VLOOKUP($J8,$A$2:$G$18,HLOOKUP(L$1,$B$1:$G$19,19,FALSE)+1,FALSE)
-
VLOOKUP($J8,'Ergebnisse Basisszenario'!$A$1:$H$21,HLOOKUP(L$1,'Ergebnisse Basisszenario'!$B$1:$G$21,21,FALSE)+1,FALSE)
)
/
VLOOKUP($J8,'Ergebnisse Basisszenario'!$A$1:$H$21,HLOOKUP(L$1,'Ergebnisse Basisszenario'!$B$1:$G$21,21,FALSE)+1,FALSE)</f>
        <v>-0.17169543290486447</v>
      </c>
      <c r="M8" s="192">
        <f>(
VLOOKUP($J8,$A$2:$G$18,HLOOKUP(M$1,$B$1:$G$19,19,FALSE)+1,FALSE)
-
VLOOKUP($J8,'Ergebnisse Basisszenario'!$A$1:$H$21,HLOOKUP(M$1,'Ergebnisse Basisszenario'!$B$1:$G$21,21,FALSE)+1,FALSE)
)
/
VLOOKUP($J8,'Ergebnisse Basisszenario'!$A$1:$H$21,HLOOKUP(M$1,'Ergebnisse Basisszenario'!$B$1:$G$21,21,FALSE)+1,FALSE)</f>
        <v>-5.7788424051290449E-2</v>
      </c>
      <c r="N8" s="192">
        <f>(
VLOOKUP($J8,$A$2:$G$18,HLOOKUP(N$1,$B$1:$G$19,19,FALSE)+1,FALSE)
-
VLOOKUP($J8,'Ergebnisse Basisszenario'!$A$1:$H$21,HLOOKUP(N$1,'Ergebnisse Basisszenario'!$B$1:$G$21,21,FALSE)+1,FALSE)
)
/
VLOOKUP($J8,'Ergebnisse Basisszenario'!$A$1:$H$21,HLOOKUP(N$1,'Ergebnisse Basisszenario'!$B$1:$G$21,21,FALSE)+1,FALSE)</f>
        <v>-0.17530415489366372</v>
      </c>
      <c r="O8" s="192">
        <f>(
VLOOKUP($J8,$A$2:$G$18,HLOOKUP(O$1,$B$1:$G$19,19,FALSE)+1,FALSE)
-
VLOOKUP($J8,'Ergebnisse Basisszenario'!$A$1:$H$21,HLOOKUP(O$1,'Ergebnisse Basisszenario'!$B$1:$G$21,21,FALSE)+1,FALSE)
)
/
VLOOKUP($J8,'Ergebnisse Basisszenario'!$A$1:$H$21,HLOOKUP(O$1,'Ergebnisse Basisszenario'!$B$1:$G$21,21,FALSE)+1,FALSE)</f>
        <v>-9.6025959515070716E-2</v>
      </c>
      <c r="P8" s="192">
        <f>(
VLOOKUP($J8,$A$2:$G$18,HLOOKUP(P$1,$B$1:$G$19,19,FALSE)+1,FALSE)
-
VLOOKUP($J8,'Ergebnisse Basisszenario'!$A$1:$H$21,HLOOKUP(P$1,'Ergebnisse Basisszenario'!$B$1:$G$21,21,FALSE)+1,FALSE)
)
/
VLOOKUP($J8,'Ergebnisse Basisszenario'!$A$1:$H$21,HLOOKUP(P$1,'Ergebnisse Basisszenario'!$B$1:$G$21,21,FALSE)+1,FALSE)</f>
        <v>-0.192391553473299</v>
      </c>
      <c r="R8" s="185" t="s">
        <v>914</v>
      </c>
      <c r="S8" s="185" t="b">
        <f>IF(
IF((VLOOKUP($R8,$A$2:$G$18,HLOOKUP(S$1,$B$1:$G$19,19,FALSE)+1,FALSE)-VLOOKUP($R8,$A$2:$G$18,HLOOKUP(S$1,$B$1:$G$19,19,FALSE)+2,FALSE))&lt;0,TRUE,FALSE)
=
IF((VLOOKUP($R8,'Ergebnisse Basisszenario'!$A$2:$G$20,HLOOKUP(S$1,'Ergebnisse Basisszenario'!$B$1:$G$21,21,FALSE)+1,FALSE)-VLOOKUP($R8,'Ergebnisse Basisszenario'!$A$2:$G$20,HLOOKUP(S$1,'Ergebnisse Basisszenario'!$B$1:$G$21,21,FALSE)+2,FALSE))&lt;0,TRUE,FALSE),
TRUE,FALSE)</f>
        <v>1</v>
      </c>
      <c r="T8" s="185" t="b">
        <f>IF(
IF((VLOOKUP($R8,$A$2:$G$18,HLOOKUP(T$1,$B$1:$G$19,19,FALSE)+1,FALSE)-VLOOKUP($R8,$A$2:$G$18,HLOOKUP(T$1,$B$1:$G$19,19,FALSE)+2,FALSE))&lt;0,TRUE,FALSE)
=
IF((VLOOKUP($R8,'Ergebnisse Basisszenario'!$A$2:$G$20,HLOOKUP(T$1,'Ergebnisse Basisszenario'!$B$1:$G$21,21,FALSE)+1,FALSE)-VLOOKUP($R8,'Ergebnisse Basisszenario'!$A$2:$G$20,HLOOKUP(T$1,'Ergebnisse Basisszenario'!$B$1:$G$21,21,FALSE)+2,FALSE))&lt;0,TRUE,FALSE),
TRUE,FALSE)</f>
        <v>1</v>
      </c>
      <c r="U8" s="185" t="b">
        <f>IF(
IF((VLOOKUP($R8,$A$2:$G$18,HLOOKUP(U$1,$B$1:$G$19,19,FALSE)+1,FALSE)-VLOOKUP($R8,$A$2:$G$18,HLOOKUP(U$1,$B$1:$G$19,19,FALSE)+2,FALSE))&lt;0,TRUE,FALSE)
=
IF((VLOOKUP($R8,'Ergebnisse Basisszenario'!$A$2:$G$20,HLOOKUP(U$1,'Ergebnisse Basisszenario'!$B$1:$G$21,21,FALSE)+1,FALSE)-VLOOKUP($R8,'Ergebnisse Basisszenario'!$A$2:$G$20,HLOOKUP(U$1,'Ergebnisse Basisszenario'!$B$1:$G$21,21,FALSE)+2,FALSE))&lt;0,TRUE,FALSE),
TRUE,FALSE)</f>
        <v>1</v>
      </c>
    </row>
    <row r="9" spans="1:21" x14ac:dyDescent="0.3">
      <c r="A9" s="185" t="s">
        <v>916</v>
      </c>
      <c r="B9" s="191">
        <v>0.87014184397483851</v>
      </c>
      <c r="C9" s="191">
        <v>0.25193051473548189</v>
      </c>
      <c r="D9" s="191">
        <v>0.48510406604329942</v>
      </c>
      <c r="E9" s="191">
        <v>0.26716671950517501</v>
      </c>
      <c r="F9" s="191">
        <v>1.4838095539416081</v>
      </c>
      <c r="G9" s="191">
        <v>0.38319602481023241</v>
      </c>
      <c r="H9" s="185" t="s">
        <v>917</v>
      </c>
      <c r="J9" s="185" t="s">
        <v>916</v>
      </c>
      <c r="K9" s="192">
        <f>(
VLOOKUP($J9,$A$2:$G$18,HLOOKUP(K$1,$B$1:$G$19,19,FALSE)+1,FALSE)
-
VLOOKUP($J9,'Ergebnisse Basisszenario'!$A$1:$H$21,HLOOKUP(K$1,'Ergebnisse Basisszenario'!$B$1:$G$21,21,FALSE)+1,FALSE)
)
/
VLOOKUP($J9,'Ergebnisse Basisszenario'!$A$1:$H$21,HLOOKUP(K$1,'Ergebnisse Basisszenario'!$B$1:$G$21,21,FALSE)+1,FALSE)</f>
        <v>-1.9005523241088035E-2</v>
      </c>
      <c r="L9" s="192">
        <f>(
VLOOKUP($J9,$A$2:$G$18,HLOOKUP(L$1,$B$1:$G$19,19,FALSE)+1,FALSE)
-
VLOOKUP($J9,'Ergebnisse Basisszenario'!$A$1:$H$21,HLOOKUP(L$1,'Ergebnisse Basisszenario'!$B$1:$G$21,21,FALSE)+1,FALSE)
)
/
VLOOKUP($J9,'Ergebnisse Basisszenario'!$A$1:$H$21,HLOOKUP(L$1,'Ergebnisse Basisszenario'!$B$1:$G$21,21,FALSE)+1,FALSE)</f>
        <v>-0.10698301252312638</v>
      </c>
      <c r="M9" s="192">
        <f>(
VLOOKUP($J9,$A$2:$G$18,HLOOKUP(M$1,$B$1:$G$19,19,FALSE)+1,FALSE)
-
VLOOKUP($J9,'Ergebnisse Basisszenario'!$A$1:$H$21,HLOOKUP(M$1,'Ergebnisse Basisszenario'!$B$1:$G$21,21,FALSE)+1,FALSE)
)
/
VLOOKUP($J9,'Ergebnisse Basisszenario'!$A$1:$H$21,HLOOKUP(M$1,'Ergebnisse Basisszenario'!$B$1:$G$21,21,FALSE)+1,FALSE)</f>
        <v>-3.2653744458807352E-2</v>
      </c>
      <c r="N9" s="192">
        <f>(
VLOOKUP($J9,$A$2:$G$18,HLOOKUP(N$1,$B$1:$G$19,19,FALSE)+1,FALSE)
-
VLOOKUP($J9,'Ergebnisse Basisszenario'!$A$1:$H$21,HLOOKUP(N$1,'Ergebnisse Basisszenario'!$B$1:$G$21,21,FALSE)+1,FALSE)
)
/
VLOOKUP($J9,'Ergebnisse Basisszenario'!$A$1:$H$21,HLOOKUP(N$1,'Ergebnisse Basisszenario'!$B$1:$G$21,21,FALSE)+1,FALSE)</f>
        <v>-0.11149407872592393</v>
      </c>
      <c r="O9" s="192">
        <f>(
VLOOKUP($J9,$A$2:$G$18,HLOOKUP(O$1,$B$1:$G$19,19,FALSE)+1,FALSE)
-
VLOOKUP($J9,'Ergebnisse Basisszenario'!$A$1:$H$21,HLOOKUP(O$1,'Ergebnisse Basisszenario'!$B$1:$G$21,21,FALSE)+1,FALSE)
)
/
VLOOKUP($J9,'Ergebnisse Basisszenario'!$A$1:$H$21,HLOOKUP(O$1,'Ergebnisse Basisszenario'!$B$1:$G$21,21,FALSE)+1,FALSE)</f>
        <v>-5.8714118617642641E-2</v>
      </c>
      <c r="P9" s="192">
        <f>(
VLOOKUP($J9,$A$2:$G$18,HLOOKUP(P$1,$B$1:$G$19,19,FALSE)+1,FALSE)
-
VLOOKUP($J9,'Ergebnisse Basisszenario'!$A$1:$H$21,HLOOKUP(P$1,'Ergebnisse Basisszenario'!$B$1:$G$21,21,FALSE)+1,FALSE)
)
/
VLOOKUP($J9,'Ergebnisse Basisszenario'!$A$1:$H$21,HLOOKUP(P$1,'Ergebnisse Basisszenario'!$B$1:$G$21,21,FALSE)+1,FALSE)</f>
        <v>-0.12195727168224256</v>
      </c>
      <c r="R9" s="185" t="s">
        <v>916</v>
      </c>
      <c r="S9" s="185" t="b">
        <f>IF(
IF((VLOOKUP($R9,$A$2:$G$18,HLOOKUP(S$1,$B$1:$G$19,19,FALSE)+1,FALSE)-VLOOKUP($R9,$A$2:$G$18,HLOOKUP(S$1,$B$1:$G$19,19,FALSE)+2,FALSE))&lt;0,TRUE,FALSE)
=
IF((VLOOKUP($R9,'Ergebnisse Basisszenario'!$A$2:$G$20,HLOOKUP(S$1,'Ergebnisse Basisszenario'!$B$1:$G$21,21,FALSE)+1,FALSE)-VLOOKUP($R9,'Ergebnisse Basisszenario'!$A$2:$G$20,HLOOKUP(S$1,'Ergebnisse Basisszenario'!$B$1:$G$21,21,FALSE)+2,FALSE))&lt;0,TRUE,FALSE),
TRUE,FALSE)</f>
        <v>1</v>
      </c>
      <c r="T9" s="185" t="b">
        <f>IF(
IF((VLOOKUP($R9,$A$2:$G$18,HLOOKUP(T$1,$B$1:$G$19,19,FALSE)+1,FALSE)-VLOOKUP($R9,$A$2:$G$18,HLOOKUP(T$1,$B$1:$G$19,19,FALSE)+2,FALSE))&lt;0,TRUE,FALSE)
=
IF((VLOOKUP($R9,'Ergebnisse Basisszenario'!$A$2:$G$20,HLOOKUP(T$1,'Ergebnisse Basisszenario'!$B$1:$G$21,21,FALSE)+1,FALSE)-VLOOKUP($R9,'Ergebnisse Basisszenario'!$A$2:$G$20,HLOOKUP(T$1,'Ergebnisse Basisszenario'!$B$1:$G$21,21,FALSE)+2,FALSE))&lt;0,TRUE,FALSE),
TRUE,FALSE)</f>
        <v>1</v>
      </c>
      <c r="U9" s="185" t="b">
        <f>IF(
IF((VLOOKUP($R9,$A$2:$G$18,HLOOKUP(U$1,$B$1:$G$19,19,FALSE)+1,FALSE)-VLOOKUP($R9,$A$2:$G$18,HLOOKUP(U$1,$B$1:$G$19,19,FALSE)+2,FALSE))&lt;0,TRUE,FALSE)
=
IF((VLOOKUP($R9,'Ergebnisse Basisszenario'!$A$2:$G$20,HLOOKUP(U$1,'Ergebnisse Basisszenario'!$B$1:$G$21,21,FALSE)+1,FALSE)-VLOOKUP($R9,'Ergebnisse Basisszenario'!$A$2:$G$20,HLOOKUP(U$1,'Ergebnisse Basisszenario'!$B$1:$G$21,21,FALSE)+2,FALSE))&lt;0,TRUE,FALSE),
TRUE,FALSE)</f>
        <v>1</v>
      </c>
    </row>
    <row r="10" spans="1:21" x14ac:dyDescent="0.3">
      <c r="A10" s="185" t="s">
        <v>918</v>
      </c>
      <c r="B10" s="191">
        <v>4.2438979522383777E-7</v>
      </c>
      <c r="C10" s="191">
        <v>2.3289736501660419E-8</v>
      </c>
      <c r="D10" s="191">
        <v>2.5960763539191919E-8</v>
      </c>
      <c r="E10" s="191">
        <v>2.1191327884458601E-8</v>
      </c>
      <c r="F10" s="191">
        <v>4.9376479162581368E-7</v>
      </c>
      <c r="G10" s="191">
        <v>3.1873480484933183E-8</v>
      </c>
      <c r="H10" s="185" t="s">
        <v>919</v>
      </c>
      <c r="J10" s="185" t="s">
        <v>918</v>
      </c>
      <c r="K10" s="192">
        <f>(
VLOOKUP($J10,$A$2:$G$18,HLOOKUP(K$1,$B$1:$G$19,19,FALSE)+1,FALSE)
-
VLOOKUP($J10,'Ergebnisse Basisszenario'!$A$1:$H$21,HLOOKUP(K$1,'Ergebnisse Basisszenario'!$B$1:$G$21,21,FALSE)+1,FALSE)
)
/
VLOOKUP($J10,'Ergebnisse Basisszenario'!$A$1:$H$21,HLOOKUP(K$1,'Ergebnisse Basisszenario'!$B$1:$G$21,21,FALSE)+1,FALSE)</f>
        <v>-2.5793181290677835E-3</v>
      </c>
      <c r="L10" s="192">
        <f>(
VLOOKUP($J10,$A$2:$G$18,HLOOKUP(L$1,$B$1:$G$19,19,FALSE)+1,FALSE)
-
VLOOKUP($J10,'Ergebnisse Basisszenario'!$A$1:$H$21,HLOOKUP(L$1,'Ergebnisse Basisszenario'!$B$1:$G$21,21,FALSE)+1,FALSE)
)
/
VLOOKUP($J10,'Ergebnisse Basisszenario'!$A$1:$H$21,HLOOKUP(L$1,'Ergebnisse Basisszenario'!$B$1:$G$21,21,FALSE)+1,FALSE)</f>
        <v>-7.7802195981311911E-2</v>
      </c>
      <c r="M10" s="192">
        <f>(
VLOOKUP($J10,$A$2:$G$18,HLOOKUP(M$1,$B$1:$G$19,19,FALSE)+1,FALSE)
-
VLOOKUP($J10,'Ergebnisse Basisszenario'!$A$1:$H$21,HLOOKUP(M$1,'Ergebnisse Basisszenario'!$B$1:$G$21,21,FALSE)+1,FALSE)
)
/
VLOOKUP($J10,'Ergebnisse Basisszenario'!$A$1:$H$21,HLOOKUP(M$1,'Ergebnisse Basisszenario'!$B$1:$G$21,21,FALSE)+1,FALSE)</f>
        <v>-3.9450499226421624E-2</v>
      </c>
      <c r="N10" s="192">
        <f>(
VLOOKUP($J10,$A$2:$G$18,HLOOKUP(N$1,$B$1:$G$19,19,FALSE)+1,FALSE)
-
VLOOKUP($J10,'Ergebnisse Basisszenario'!$A$1:$H$21,HLOOKUP(N$1,'Ergebnisse Basisszenario'!$B$1:$G$21,21,FALSE)+1,FALSE)
)
/
VLOOKUP($J10,'Ergebnisse Basisszenario'!$A$1:$H$21,HLOOKUP(N$1,'Ergebnisse Basisszenario'!$B$1:$G$21,21,FALSE)+1,FALSE)</f>
        <v>-9.3385809771926259E-2</v>
      </c>
      <c r="O10" s="192">
        <f>(
VLOOKUP($J10,$A$2:$G$18,HLOOKUP(O$1,$B$1:$G$19,19,FALSE)+1,FALSE)
-
VLOOKUP($J10,'Ergebnisse Basisszenario'!$A$1:$H$21,HLOOKUP(O$1,'Ergebnisse Basisszenario'!$B$1:$G$21,21,FALSE)+1,FALSE)
)
/
VLOOKUP($J10,'Ergebnisse Basisszenario'!$A$1:$H$21,HLOOKUP(O$1,'Ergebnisse Basisszenario'!$B$1:$G$21,21,FALSE)+1,FALSE)</f>
        <v>-1.2056903205839475E-2</v>
      </c>
      <c r="P10" s="192">
        <f>(
VLOOKUP($J10,$A$2:$G$18,HLOOKUP(P$1,$B$1:$G$19,19,FALSE)+1,FALSE)
-
VLOOKUP($J10,'Ergebnisse Basisszenario'!$A$1:$H$21,HLOOKUP(P$1,'Ergebnisse Basisszenario'!$B$1:$G$21,21,FALSE)+1,FALSE)
)
/
VLOOKUP($J10,'Ergebnisse Basisszenario'!$A$1:$H$21,HLOOKUP(P$1,'Ergebnisse Basisszenario'!$B$1:$G$21,21,FALSE)+1,FALSE)</f>
        <v>-9.8064661985669932E-2</v>
      </c>
      <c r="R10" s="185" t="s">
        <v>918</v>
      </c>
      <c r="S10" s="185" t="b">
        <f>IF(
IF((VLOOKUP($R10,$A$2:$G$18,HLOOKUP(S$1,$B$1:$G$19,19,FALSE)+1,FALSE)-VLOOKUP($R10,$A$2:$G$18,HLOOKUP(S$1,$B$1:$G$19,19,FALSE)+2,FALSE))&lt;0,TRUE,FALSE)
=
IF((VLOOKUP($R10,'Ergebnisse Basisszenario'!$A$2:$G$20,HLOOKUP(S$1,'Ergebnisse Basisszenario'!$B$1:$G$21,21,FALSE)+1,FALSE)-VLOOKUP($R10,'Ergebnisse Basisszenario'!$A$2:$G$20,HLOOKUP(S$1,'Ergebnisse Basisszenario'!$B$1:$G$21,21,FALSE)+2,FALSE))&lt;0,TRUE,FALSE),
TRUE,FALSE)</f>
        <v>1</v>
      </c>
      <c r="T10" s="185" t="b">
        <f>IF(
IF((VLOOKUP($R10,$A$2:$G$18,HLOOKUP(T$1,$B$1:$G$19,19,FALSE)+1,FALSE)-VLOOKUP($R10,$A$2:$G$18,HLOOKUP(T$1,$B$1:$G$19,19,FALSE)+2,FALSE))&lt;0,TRUE,FALSE)
=
IF((VLOOKUP($R10,'Ergebnisse Basisszenario'!$A$2:$G$20,HLOOKUP(T$1,'Ergebnisse Basisszenario'!$B$1:$G$21,21,FALSE)+1,FALSE)-VLOOKUP($R10,'Ergebnisse Basisszenario'!$A$2:$G$20,HLOOKUP(T$1,'Ergebnisse Basisszenario'!$B$1:$G$21,21,FALSE)+2,FALSE))&lt;0,TRUE,FALSE),
TRUE,FALSE)</f>
        <v>1</v>
      </c>
      <c r="U10" s="185" t="b">
        <f>IF(
IF((VLOOKUP($R10,$A$2:$G$18,HLOOKUP(U$1,$B$1:$G$19,19,FALSE)+1,FALSE)-VLOOKUP($R10,$A$2:$G$18,HLOOKUP(U$1,$B$1:$G$19,19,FALSE)+2,FALSE))&lt;0,TRUE,FALSE)
=
IF((VLOOKUP($R10,'Ergebnisse Basisszenario'!$A$2:$G$20,HLOOKUP(U$1,'Ergebnisse Basisszenario'!$B$1:$G$21,21,FALSE)+1,FALSE)-VLOOKUP($R10,'Ergebnisse Basisszenario'!$A$2:$G$20,HLOOKUP(U$1,'Ergebnisse Basisszenario'!$B$1:$G$21,21,FALSE)+2,FALSE))&lt;0,TRUE,FALSE),
TRUE,FALSE)</f>
        <v>1</v>
      </c>
    </row>
    <row r="11" spans="1:21" x14ac:dyDescent="0.3">
      <c r="A11" s="185" t="s">
        <v>920</v>
      </c>
      <c r="B11" s="191">
        <v>2.1444529891501959E-6</v>
      </c>
      <c r="C11" s="191">
        <v>4.4248976105180069E-7</v>
      </c>
      <c r="D11" s="191">
        <v>6.0233713310701018E-7</v>
      </c>
      <c r="E11" s="191">
        <v>4.5324754191520469E-7</v>
      </c>
      <c r="F11" s="191">
        <v>3.1578139031072181E-6</v>
      </c>
      <c r="G11" s="191">
        <v>6.6832306879606682E-7</v>
      </c>
      <c r="H11" s="185" t="s">
        <v>919</v>
      </c>
      <c r="J11" s="185" t="s">
        <v>920</v>
      </c>
      <c r="K11" s="192">
        <f>(
VLOOKUP($J11,$A$2:$G$18,HLOOKUP(K$1,$B$1:$G$19,19,FALSE)+1,FALSE)
-
VLOOKUP($J11,'Ergebnisse Basisszenario'!$A$1:$H$21,HLOOKUP(K$1,'Ergebnisse Basisszenario'!$B$1:$G$21,21,FALSE)+1,FALSE)
)
/
VLOOKUP($J11,'Ergebnisse Basisszenario'!$A$1:$H$21,HLOOKUP(K$1,'Ergebnisse Basisszenario'!$B$1:$G$21,21,FALSE)+1,FALSE)</f>
        <v>-1.3061385147794473E-2</v>
      </c>
      <c r="L11" s="192">
        <f>(
VLOOKUP($J11,$A$2:$G$18,HLOOKUP(L$1,$B$1:$G$19,19,FALSE)+1,FALSE)
-
VLOOKUP($J11,'Ergebnisse Basisszenario'!$A$1:$H$21,HLOOKUP(L$1,'Ergebnisse Basisszenario'!$B$1:$G$21,21,FALSE)+1,FALSE)
)
/
VLOOKUP($J11,'Ergebnisse Basisszenario'!$A$1:$H$21,HLOOKUP(L$1,'Ergebnisse Basisszenario'!$B$1:$G$21,21,FALSE)+1,FALSE)</f>
        <v>-0.10300336433184933</v>
      </c>
      <c r="M11" s="192">
        <f>(
VLOOKUP($J11,$A$2:$G$18,HLOOKUP(M$1,$B$1:$G$19,19,FALSE)+1,FALSE)
-
VLOOKUP($J11,'Ergebnisse Basisszenario'!$A$1:$H$21,HLOOKUP(M$1,'Ergebnisse Basisszenario'!$B$1:$G$21,21,FALSE)+1,FALSE)
)
/
VLOOKUP($J11,'Ergebnisse Basisszenario'!$A$1:$H$21,HLOOKUP(M$1,'Ergebnisse Basisszenario'!$B$1:$G$21,21,FALSE)+1,FALSE)</f>
        <v>-4.3778438800142996E-2</v>
      </c>
      <c r="N11" s="192">
        <f>(
VLOOKUP($J11,$A$2:$G$18,HLOOKUP(N$1,$B$1:$G$19,19,FALSE)+1,FALSE)
-
VLOOKUP($J11,'Ergebnisse Basisszenario'!$A$1:$H$21,HLOOKUP(N$1,'Ergebnisse Basisszenario'!$B$1:$G$21,21,FALSE)+1,FALSE)
)
/
VLOOKUP($J11,'Ergebnisse Basisszenario'!$A$1:$H$21,HLOOKUP(N$1,'Ergebnisse Basisszenario'!$B$1:$G$21,21,FALSE)+1,FALSE)</f>
        <v>-0.11075757856468497</v>
      </c>
      <c r="O11" s="192">
        <f>(
VLOOKUP($J11,$A$2:$G$18,HLOOKUP(O$1,$B$1:$G$19,19,FALSE)+1,FALSE)
-
VLOOKUP($J11,'Ergebnisse Basisszenario'!$A$1:$H$21,HLOOKUP(O$1,'Ergebnisse Basisszenario'!$B$1:$G$21,21,FALSE)+1,FALSE)
)
/
VLOOKUP($J11,'Ergebnisse Basisszenario'!$A$1:$H$21,HLOOKUP(O$1,'Ergebnisse Basisszenario'!$B$1:$G$21,21,FALSE)+1,FALSE)</f>
        <v>-4.7029803648767736E-2</v>
      </c>
      <c r="P11" s="192">
        <f>(
VLOOKUP($J11,$A$2:$G$18,HLOOKUP(P$1,$B$1:$G$19,19,FALSE)+1,FALSE)
-
VLOOKUP($J11,'Ergebnisse Basisszenario'!$A$1:$H$21,HLOOKUP(P$1,'Ergebnisse Basisszenario'!$B$1:$G$21,21,FALSE)+1,FALSE)
)
/
VLOOKUP($J11,'Ergebnisse Basisszenario'!$A$1:$H$21,HLOOKUP(P$1,'Ergebnisse Basisszenario'!$B$1:$G$21,21,FALSE)+1,FALSE)</f>
        <v>-0.11825149881843844</v>
      </c>
      <c r="R11" s="185" t="s">
        <v>920</v>
      </c>
      <c r="S11" s="185" t="b">
        <f>IF(
IF((VLOOKUP($R11,$A$2:$G$18,HLOOKUP(S$1,$B$1:$G$19,19,FALSE)+1,FALSE)-VLOOKUP($R11,$A$2:$G$18,HLOOKUP(S$1,$B$1:$G$19,19,FALSE)+2,FALSE))&lt;0,TRUE,FALSE)
=
IF((VLOOKUP($R11,'Ergebnisse Basisszenario'!$A$2:$G$20,HLOOKUP(S$1,'Ergebnisse Basisszenario'!$B$1:$G$21,21,FALSE)+1,FALSE)-VLOOKUP($R11,'Ergebnisse Basisszenario'!$A$2:$G$20,HLOOKUP(S$1,'Ergebnisse Basisszenario'!$B$1:$G$21,21,FALSE)+2,FALSE))&lt;0,TRUE,FALSE),
TRUE,FALSE)</f>
        <v>1</v>
      </c>
      <c r="T11" s="185" t="b">
        <f>IF(
IF((VLOOKUP($R11,$A$2:$G$18,HLOOKUP(T$1,$B$1:$G$19,19,FALSE)+1,FALSE)-VLOOKUP($R11,$A$2:$G$18,HLOOKUP(T$1,$B$1:$G$19,19,FALSE)+2,FALSE))&lt;0,TRUE,FALSE)
=
IF((VLOOKUP($R11,'Ergebnisse Basisszenario'!$A$2:$G$20,HLOOKUP(T$1,'Ergebnisse Basisszenario'!$B$1:$G$21,21,FALSE)+1,FALSE)-VLOOKUP($R11,'Ergebnisse Basisszenario'!$A$2:$G$20,HLOOKUP(T$1,'Ergebnisse Basisszenario'!$B$1:$G$21,21,FALSE)+2,FALSE))&lt;0,TRUE,FALSE),
TRUE,FALSE)</f>
        <v>1</v>
      </c>
      <c r="U11" s="185" t="b">
        <f>IF(
IF((VLOOKUP($R11,$A$2:$G$18,HLOOKUP(U$1,$B$1:$G$19,19,FALSE)+1,FALSE)-VLOOKUP($R11,$A$2:$G$18,HLOOKUP(U$1,$B$1:$G$19,19,FALSE)+2,FALSE))&lt;0,TRUE,FALSE)
=
IF((VLOOKUP($R11,'Ergebnisse Basisszenario'!$A$2:$G$20,HLOOKUP(U$1,'Ergebnisse Basisszenario'!$B$1:$G$21,21,FALSE)+1,FALSE)-VLOOKUP($R11,'Ergebnisse Basisszenario'!$A$2:$G$20,HLOOKUP(U$1,'Ergebnisse Basisszenario'!$B$1:$G$21,21,FALSE)+2,FALSE))&lt;0,TRUE,FALSE),
TRUE,FALSE)</f>
        <v>1</v>
      </c>
    </row>
    <row r="12" spans="1:21" x14ac:dyDescent="0.3">
      <c r="A12" s="185" t="s">
        <v>921</v>
      </c>
      <c r="B12" s="191">
        <v>5.042623390152972</v>
      </c>
      <c r="C12" s="191">
        <v>2.4362529345983681</v>
      </c>
      <c r="D12" s="191">
        <v>4.2964871335364734</v>
      </c>
      <c r="E12" s="191">
        <v>2.8062821249238592</v>
      </c>
      <c r="F12" s="191">
        <v>11.61556177647163</v>
      </c>
      <c r="G12" s="191">
        <v>4.0496842001594384</v>
      </c>
      <c r="H12" s="185" t="s">
        <v>922</v>
      </c>
      <c r="J12" s="185" t="s">
        <v>921</v>
      </c>
      <c r="K12" s="192">
        <f>(
VLOOKUP($J12,$A$2:$G$18,HLOOKUP(K$1,$B$1:$G$19,19,FALSE)+1,FALSE)
-
VLOOKUP($J12,'Ergebnisse Basisszenario'!$A$1:$H$21,HLOOKUP(K$1,'Ergebnisse Basisszenario'!$B$1:$G$21,21,FALSE)+1,FALSE)
)
/
VLOOKUP($J12,'Ergebnisse Basisszenario'!$A$1:$H$21,HLOOKUP(K$1,'Ergebnisse Basisszenario'!$B$1:$G$21,21,FALSE)+1,FALSE)</f>
        <v>-0.18249229405446862</v>
      </c>
      <c r="L12" s="192">
        <f>(
VLOOKUP($J12,$A$2:$G$18,HLOOKUP(L$1,$B$1:$G$19,19,FALSE)+1,FALSE)
-
VLOOKUP($J12,'Ergebnisse Basisszenario'!$A$1:$H$21,HLOOKUP(L$1,'Ergebnisse Basisszenario'!$B$1:$G$21,21,FALSE)+1,FALSE)
)
/
VLOOKUP($J12,'Ergebnisse Basisszenario'!$A$1:$H$21,HLOOKUP(L$1,'Ergebnisse Basisszenario'!$B$1:$G$21,21,FALSE)+1,FALSE)</f>
        <v>-0.45272461875955272</v>
      </c>
      <c r="M12" s="192">
        <f>(
VLOOKUP($J12,$A$2:$G$18,HLOOKUP(M$1,$B$1:$G$19,19,FALSE)+1,FALSE)
-
VLOOKUP($J12,'Ergebnisse Basisszenario'!$A$1:$H$21,HLOOKUP(M$1,'Ergebnisse Basisszenario'!$B$1:$G$21,21,FALSE)+1,FALSE)
)
/
VLOOKUP($J12,'Ergebnisse Basisszenario'!$A$1:$H$21,HLOOKUP(M$1,'Ergebnisse Basisszenario'!$B$1:$G$21,21,FALSE)+1,FALSE)</f>
        <v>-0.20289616567738641</v>
      </c>
      <c r="N12" s="192">
        <f>(
VLOOKUP($J12,$A$2:$G$18,HLOOKUP(N$1,$B$1:$G$19,19,FALSE)+1,FALSE)
-
VLOOKUP($J12,'Ergebnisse Basisszenario'!$A$1:$H$21,HLOOKUP(N$1,'Ergebnisse Basisszenario'!$B$1:$G$21,21,FALSE)+1,FALSE)
)
/
VLOOKUP($J12,'Ergebnisse Basisszenario'!$A$1:$H$21,HLOOKUP(N$1,'Ergebnisse Basisszenario'!$B$1:$G$21,21,FALSE)+1,FALSE)</f>
        <v>-0.44377150839065305</v>
      </c>
      <c r="O12" s="192">
        <f>(
VLOOKUP($J12,$A$2:$G$18,HLOOKUP(O$1,$B$1:$G$19,19,FALSE)+1,FALSE)
-
VLOOKUP($J12,'Ergebnisse Basisszenario'!$A$1:$H$21,HLOOKUP(O$1,'Ergebnisse Basisszenario'!$B$1:$G$21,21,FALSE)+1,FALSE)
)
/
VLOOKUP($J12,'Ergebnisse Basisszenario'!$A$1:$H$21,HLOOKUP(O$1,'Ergebnisse Basisszenario'!$B$1:$G$21,21,FALSE)+1,FALSE)</f>
        <v>-0.34730651335734519</v>
      </c>
      <c r="P12" s="192">
        <f>(
VLOOKUP($J12,$A$2:$G$18,HLOOKUP(P$1,$B$1:$G$19,19,FALSE)+1,FALSE)
-
VLOOKUP($J12,'Ergebnisse Basisszenario'!$A$1:$H$21,HLOOKUP(P$1,'Ergebnisse Basisszenario'!$B$1:$G$21,21,FALSE)+1,FALSE)
)
/
VLOOKUP($J12,'Ergebnisse Basisszenario'!$A$1:$H$21,HLOOKUP(P$1,'Ergebnisse Basisszenario'!$B$1:$G$21,21,FALSE)+1,FALSE)</f>
        <v>-0.46744558618201182</v>
      </c>
      <c r="R12" s="185" t="s">
        <v>921</v>
      </c>
      <c r="S12" s="185" t="b">
        <f>IF(
IF((VLOOKUP($R12,$A$2:$G$18,HLOOKUP(S$1,$B$1:$G$19,19,FALSE)+1,FALSE)-VLOOKUP($R12,$A$2:$G$18,HLOOKUP(S$1,$B$1:$G$19,19,FALSE)+2,FALSE))&lt;0,TRUE,FALSE)
=
IF((VLOOKUP($R12,'Ergebnisse Basisszenario'!$A$2:$G$20,HLOOKUP(S$1,'Ergebnisse Basisszenario'!$B$1:$G$21,21,FALSE)+1,FALSE)-VLOOKUP($R12,'Ergebnisse Basisszenario'!$A$2:$G$20,HLOOKUP(S$1,'Ergebnisse Basisszenario'!$B$1:$G$21,21,FALSE)+2,FALSE))&lt;0,TRUE,FALSE),
TRUE,FALSE)</f>
        <v>1</v>
      </c>
      <c r="T12" s="185" t="b">
        <f>IF(
IF((VLOOKUP($R12,$A$2:$G$18,HLOOKUP(T$1,$B$1:$G$19,19,FALSE)+1,FALSE)-VLOOKUP($R12,$A$2:$G$18,HLOOKUP(T$1,$B$1:$G$19,19,FALSE)+2,FALSE))&lt;0,TRUE,FALSE)
=
IF((VLOOKUP($R12,'Ergebnisse Basisszenario'!$A$2:$G$20,HLOOKUP(T$1,'Ergebnisse Basisszenario'!$B$1:$G$21,21,FALSE)+1,FALSE)-VLOOKUP($R12,'Ergebnisse Basisszenario'!$A$2:$G$20,HLOOKUP(T$1,'Ergebnisse Basisszenario'!$B$1:$G$21,21,FALSE)+2,FALSE))&lt;0,TRUE,FALSE),
TRUE,FALSE)</f>
        <v>1</v>
      </c>
      <c r="U12" s="185" t="b">
        <f>IF(
IF((VLOOKUP($R12,$A$2:$G$18,HLOOKUP(U$1,$B$1:$G$19,19,FALSE)+1,FALSE)-VLOOKUP($R12,$A$2:$G$18,HLOOKUP(U$1,$B$1:$G$19,19,FALSE)+2,FALSE))&lt;0,TRUE,FALSE)
=
IF((VLOOKUP($R12,'Ergebnisse Basisszenario'!$A$2:$G$20,HLOOKUP(U$1,'Ergebnisse Basisszenario'!$B$1:$G$21,21,FALSE)+1,FALSE)-VLOOKUP($R12,'Ergebnisse Basisszenario'!$A$2:$G$20,HLOOKUP(U$1,'Ergebnisse Basisszenario'!$B$1:$G$21,21,FALSE)+2,FALSE))&lt;0,TRUE,FALSE),
TRUE,FALSE)</f>
        <v>1</v>
      </c>
    </row>
    <row r="13" spans="1:21" x14ac:dyDescent="0.3">
      <c r="A13" s="185" t="s">
        <v>923</v>
      </c>
      <c r="B13" s="191">
        <v>3255.0308436475711</v>
      </c>
      <c r="C13" s="191">
        <v>119.1686857709888</v>
      </c>
      <c r="D13" s="191">
        <v>188.92075852674711</v>
      </c>
      <c r="E13" s="191">
        <v>105.6452063016405</v>
      </c>
      <c r="F13" s="191">
        <v>6294.4791326123768</v>
      </c>
      <c r="G13" s="191">
        <v>153.73674602414681</v>
      </c>
      <c r="H13" s="185" t="s">
        <v>924</v>
      </c>
      <c r="J13" s="185" t="s">
        <v>923</v>
      </c>
      <c r="K13" s="192">
        <f>(
VLOOKUP($J13,$A$2:$G$18,HLOOKUP(K$1,$B$1:$G$19,19,FALSE)+1,FALSE)
-
VLOOKUP($J13,'Ergebnisse Basisszenario'!$A$1:$H$21,HLOOKUP(K$1,'Ergebnisse Basisszenario'!$B$1:$G$21,21,FALSE)+1,FALSE)
)
/
VLOOKUP($J13,'Ergebnisse Basisszenario'!$A$1:$H$21,HLOOKUP(K$1,'Ergebnisse Basisszenario'!$B$1:$G$21,21,FALSE)+1,FALSE)</f>
        <v>-4.2569434452009534E-3</v>
      </c>
      <c r="L13" s="192">
        <f>(
VLOOKUP($J13,$A$2:$G$18,HLOOKUP(L$1,$B$1:$G$19,19,FALSE)+1,FALSE)
-
VLOOKUP($J13,'Ergebnisse Basisszenario'!$A$1:$H$21,HLOOKUP(L$1,'Ergebnisse Basisszenario'!$B$1:$G$21,21,FALSE)+1,FALSE)
)
/
VLOOKUP($J13,'Ergebnisse Basisszenario'!$A$1:$H$21,HLOOKUP(L$1,'Ergebnisse Basisszenario'!$B$1:$G$21,21,FALSE)+1,FALSE)</f>
        <v>-0.17291605175504465</v>
      </c>
      <c r="M13" s="192">
        <f>(
VLOOKUP($J13,$A$2:$G$18,HLOOKUP(M$1,$B$1:$G$19,19,FALSE)+1,FALSE)
-
VLOOKUP($J13,'Ergebnisse Basisszenario'!$A$1:$H$21,HLOOKUP(M$1,'Ergebnisse Basisszenario'!$B$1:$G$21,21,FALSE)+1,FALSE)
)
/
VLOOKUP($J13,'Ergebnisse Basisszenario'!$A$1:$H$21,HLOOKUP(M$1,'Ergebnisse Basisszenario'!$B$1:$G$21,21,FALSE)+1,FALSE)</f>
        <v>-6.6784910666531042E-2</v>
      </c>
      <c r="N13" s="192">
        <f>(
VLOOKUP($J13,$A$2:$G$18,HLOOKUP(N$1,$B$1:$G$19,19,FALSE)+1,FALSE)
-
VLOOKUP($J13,'Ergebnisse Basisszenario'!$A$1:$H$21,HLOOKUP(N$1,'Ergebnisse Basisszenario'!$B$1:$G$21,21,FALSE)+1,FALSE)
)
/
VLOOKUP($J13,'Ergebnisse Basisszenario'!$A$1:$H$21,HLOOKUP(N$1,'Ergebnisse Basisszenario'!$B$1:$G$21,21,FALSE)+1,FALSE)</f>
        <v>-0.20760249335487008</v>
      </c>
      <c r="O13" s="192">
        <f>(
VLOOKUP($J13,$A$2:$G$18,HLOOKUP(O$1,$B$1:$G$19,19,FALSE)+1,FALSE)
-
VLOOKUP($J13,'Ergebnisse Basisszenario'!$A$1:$H$21,HLOOKUP(O$1,'Ergebnisse Basisszenario'!$B$1:$G$21,21,FALSE)+1,FALSE)
)
/
VLOOKUP($J13,'Ergebnisse Basisszenario'!$A$1:$H$21,HLOOKUP(O$1,'Ergebnisse Basisszenario'!$B$1:$G$21,21,FALSE)+1,FALSE)</f>
        <v>-1.1993444156473403E-2</v>
      </c>
      <c r="P13" s="192">
        <f>(
VLOOKUP($J13,$A$2:$G$18,HLOOKUP(P$1,$B$1:$G$19,19,FALSE)+1,FALSE)
-
VLOOKUP($J13,'Ergebnisse Basisszenario'!$A$1:$H$21,HLOOKUP(P$1,'Ergebnisse Basisszenario'!$B$1:$G$21,21,FALSE)+1,FALSE)
)
/
VLOOKUP($J13,'Ergebnisse Basisszenario'!$A$1:$H$21,HLOOKUP(P$1,'Ergebnisse Basisszenario'!$B$1:$G$21,21,FALSE)+1,FALSE)</f>
        <v>-0.22229441734936267</v>
      </c>
      <c r="R13" s="185" t="s">
        <v>923</v>
      </c>
      <c r="S13" s="185" t="b">
        <f>IF(
IF((VLOOKUP($R13,$A$2:$G$18,HLOOKUP(S$1,$B$1:$G$19,19,FALSE)+1,FALSE)-VLOOKUP($R13,$A$2:$G$18,HLOOKUP(S$1,$B$1:$G$19,19,FALSE)+2,FALSE))&lt;0,TRUE,FALSE)
=
IF((VLOOKUP($R13,'Ergebnisse Basisszenario'!$A$2:$G$20,HLOOKUP(S$1,'Ergebnisse Basisszenario'!$B$1:$G$21,21,FALSE)+1,FALSE)-VLOOKUP($R13,'Ergebnisse Basisszenario'!$A$2:$G$20,HLOOKUP(S$1,'Ergebnisse Basisszenario'!$B$1:$G$21,21,FALSE)+2,FALSE))&lt;0,TRUE,FALSE),
TRUE,FALSE)</f>
        <v>1</v>
      </c>
      <c r="T13" s="185" t="b">
        <f>IF(
IF((VLOOKUP($R13,$A$2:$G$18,HLOOKUP(T$1,$B$1:$G$19,19,FALSE)+1,FALSE)-VLOOKUP($R13,$A$2:$G$18,HLOOKUP(T$1,$B$1:$G$19,19,FALSE)+2,FALSE))&lt;0,TRUE,FALSE)
=
IF((VLOOKUP($R13,'Ergebnisse Basisszenario'!$A$2:$G$20,HLOOKUP(T$1,'Ergebnisse Basisszenario'!$B$1:$G$21,21,FALSE)+1,FALSE)-VLOOKUP($R13,'Ergebnisse Basisszenario'!$A$2:$G$20,HLOOKUP(T$1,'Ergebnisse Basisszenario'!$B$1:$G$21,21,FALSE)+2,FALSE))&lt;0,TRUE,FALSE),
TRUE,FALSE)</f>
        <v>1</v>
      </c>
      <c r="U13" s="185" t="b">
        <f>IF(
IF((VLOOKUP($R13,$A$2:$G$18,HLOOKUP(U$1,$B$1:$G$19,19,FALSE)+1,FALSE)-VLOOKUP($R13,$A$2:$G$18,HLOOKUP(U$1,$B$1:$G$19,19,FALSE)+2,FALSE))&lt;0,TRUE,FALSE)
=
IF((VLOOKUP($R13,'Ergebnisse Basisszenario'!$A$2:$G$20,HLOOKUP(U$1,'Ergebnisse Basisszenario'!$B$1:$G$21,21,FALSE)+1,FALSE)-VLOOKUP($R13,'Ergebnisse Basisszenario'!$A$2:$G$20,HLOOKUP(U$1,'Ergebnisse Basisszenario'!$B$1:$G$21,21,FALSE)+2,FALSE))&lt;0,TRUE,FALSE),
TRUE,FALSE)</f>
        <v>1</v>
      </c>
    </row>
    <row r="14" spans="1:21" x14ac:dyDescent="0.3">
      <c r="A14" s="185" t="s">
        <v>925</v>
      </c>
      <c r="B14" s="191">
        <v>8.1896450134118779E-4</v>
      </c>
      <c r="C14" s="191">
        <v>2.8382023533173441E-4</v>
      </c>
      <c r="D14" s="191">
        <v>3.1826359452574802E-4</v>
      </c>
      <c r="E14" s="191">
        <v>2.7932916280307298E-4</v>
      </c>
      <c r="F14" s="191">
        <v>1.4335151748204071E-3</v>
      </c>
      <c r="G14" s="191">
        <v>4.032452424786114E-4</v>
      </c>
      <c r="H14" s="185" t="s">
        <v>926</v>
      </c>
      <c r="J14" s="185" t="s">
        <v>925</v>
      </c>
      <c r="K14" s="192">
        <f>(
VLOOKUP($J14,$A$2:$G$18,HLOOKUP(K$1,$B$1:$G$19,19,FALSE)+1,FALSE)
-
VLOOKUP($J14,'Ergebnisse Basisszenario'!$A$1:$H$21,HLOOKUP(K$1,'Ergebnisse Basisszenario'!$B$1:$G$21,21,FALSE)+1,FALSE)
)
/
VLOOKUP($J14,'Ergebnisse Basisszenario'!$A$1:$H$21,HLOOKUP(K$1,'Ergebnisse Basisszenario'!$B$1:$G$21,21,FALSE)+1,FALSE)</f>
        <v>-4.1968627249728177E-2</v>
      </c>
      <c r="L14" s="192">
        <f>(
VLOOKUP($J14,$A$2:$G$18,HLOOKUP(L$1,$B$1:$G$19,19,FALSE)+1,FALSE)
-
VLOOKUP($J14,'Ergebnisse Basisszenario'!$A$1:$H$21,HLOOKUP(L$1,'Ergebnisse Basisszenario'!$B$1:$G$21,21,FALSE)+1,FALSE)
)
/
VLOOKUP($J14,'Ergebnisse Basisszenario'!$A$1:$H$21,HLOOKUP(L$1,'Ergebnisse Basisszenario'!$B$1:$G$21,21,FALSE)+1,FALSE)</f>
        <v>-0.18454789575087233</v>
      </c>
      <c r="M14" s="192">
        <f>(
VLOOKUP($J14,$A$2:$G$18,HLOOKUP(M$1,$B$1:$G$19,19,FALSE)+1,FALSE)
-
VLOOKUP($J14,'Ergebnisse Basisszenario'!$A$1:$H$21,HLOOKUP(M$1,'Ergebnisse Basisszenario'!$B$1:$G$21,21,FALSE)+1,FALSE)
)
/
VLOOKUP($J14,'Ergebnisse Basisszenario'!$A$1:$H$21,HLOOKUP(M$1,'Ergebnisse Basisszenario'!$B$1:$G$21,21,FALSE)+1,FALSE)</f>
        <v>-9.8712632881893442E-2</v>
      </c>
      <c r="N14" s="192">
        <f>(
VLOOKUP($J14,$A$2:$G$18,HLOOKUP(N$1,$B$1:$G$19,19,FALSE)+1,FALSE)
-
VLOOKUP($J14,'Ergebnisse Basisszenario'!$A$1:$H$21,HLOOKUP(N$1,'Ergebnisse Basisszenario'!$B$1:$G$21,21,FALSE)+1,FALSE)
)
/
VLOOKUP($J14,'Ergebnisse Basisszenario'!$A$1:$H$21,HLOOKUP(N$1,'Ergebnisse Basisszenario'!$B$1:$G$21,21,FALSE)+1,FALSE)</f>
        <v>-0.2034850833554202</v>
      </c>
      <c r="O14" s="192">
        <f>(
VLOOKUP($J14,$A$2:$G$18,HLOOKUP(O$1,$B$1:$G$19,19,FALSE)+1,FALSE)
-
VLOOKUP($J14,'Ergebnisse Basisszenario'!$A$1:$H$21,HLOOKUP(O$1,'Ergebnisse Basisszenario'!$B$1:$G$21,21,FALSE)+1,FALSE)
)
/
VLOOKUP($J14,'Ergebnisse Basisszenario'!$A$1:$H$21,HLOOKUP(O$1,'Ergebnisse Basisszenario'!$B$1:$G$21,21,FALSE)+1,FALSE)</f>
        <v>-0.12081817666293032</v>
      </c>
      <c r="P14" s="192">
        <f>(
VLOOKUP($J14,$A$2:$G$18,HLOOKUP(P$1,$B$1:$G$19,19,FALSE)+1,FALSE)
-
VLOOKUP($J14,'Ergebnisse Basisszenario'!$A$1:$H$21,HLOOKUP(P$1,'Ergebnisse Basisszenario'!$B$1:$G$21,21,FALSE)+1,FALSE)
)
/
VLOOKUP($J14,'Ergebnisse Basisszenario'!$A$1:$H$21,HLOOKUP(P$1,'Ergebnisse Basisszenario'!$B$1:$G$21,21,FALSE)+1,FALSE)</f>
        <v>-0.21933360869217625</v>
      </c>
      <c r="R14" s="185" t="s">
        <v>925</v>
      </c>
      <c r="S14" s="185" t="b">
        <f>IF(
IF((VLOOKUP($R14,$A$2:$G$18,HLOOKUP(S$1,$B$1:$G$19,19,FALSE)+1,FALSE)-VLOOKUP($R14,$A$2:$G$18,HLOOKUP(S$1,$B$1:$G$19,19,FALSE)+2,FALSE))&lt;0,TRUE,FALSE)
=
IF((VLOOKUP($R14,'Ergebnisse Basisszenario'!$A$2:$G$20,HLOOKUP(S$1,'Ergebnisse Basisszenario'!$B$1:$G$21,21,FALSE)+1,FALSE)-VLOOKUP($R14,'Ergebnisse Basisszenario'!$A$2:$G$20,HLOOKUP(S$1,'Ergebnisse Basisszenario'!$B$1:$G$21,21,FALSE)+2,FALSE))&lt;0,TRUE,FALSE),
TRUE,FALSE)</f>
        <v>1</v>
      </c>
      <c r="T14" s="185" t="b">
        <f>IF(
IF((VLOOKUP($R14,$A$2:$G$18,HLOOKUP(T$1,$B$1:$G$19,19,FALSE)+1,FALSE)-VLOOKUP($R14,$A$2:$G$18,HLOOKUP(T$1,$B$1:$G$19,19,FALSE)+2,FALSE))&lt;0,TRUE,FALSE)
=
IF((VLOOKUP($R14,'Ergebnisse Basisszenario'!$A$2:$G$20,HLOOKUP(T$1,'Ergebnisse Basisszenario'!$B$1:$G$21,21,FALSE)+1,FALSE)-VLOOKUP($R14,'Ergebnisse Basisszenario'!$A$2:$G$20,HLOOKUP(T$1,'Ergebnisse Basisszenario'!$B$1:$G$21,21,FALSE)+2,FALSE))&lt;0,TRUE,FALSE),
TRUE,FALSE)</f>
        <v>1</v>
      </c>
      <c r="U14" s="185" t="b">
        <f>IF(
IF((VLOOKUP($R14,$A$2:$G$18,HLOOKUP(U$1,$B$1:$G$19,19,FALSE)+1,FALSE)-VLOOKUP($R14,$A$2:$G$18,HLOOKUP(U$1,$B$1:$G$19,19,FALSE)+2,FALSE))&lt;0,TRUE,FALSE)
=
IF((VLOOKUP($R14,'Ergebnisse Basisszenario'!$A$2:$G$20,HLOOKUP(U$1,'Ergebnisse Basisszenario'!$B$1:$G$21,21,FALSE)+1,FALSE)-VLOOKUP($R14,'Ergebnisse Basisszenario'!$A$2:$G$20,HLOOKUP(U$1,'Ergebnisse Basisszenario'!$B$1:$G$21,21,FALSE)+2,FALSE))&lt;0,TRUE,FALSE),
TRUE,FALSE)</f>
        <v>1</v>
      </c>
    </row>
    <row r="15" spans="1:21" x14ac:dyDescent="0.3">
      <c r="A15" s="185" t="s">
        <v>927</v>
      </c>
      <c r="B15" s="191">
        <v>7.4730506340977882E-6</v>
      </c>
      <c r="C15" s="191">
        <v>5.1369189565476293E-6</v>
      </c>
      <c r="D15" s="191">
        <v>4.90619408059916E-6</v>
      </c>
      <c r="E15" s="191">
        <v>5.5450727530223238E-6</v>
      </c>
      <c r="F15" s="191">
        <v>1.97173868205575E-5</v>
      </c>
      <c r="G15" s="191">
        <v>8.4169041240386899E-6</v>
      </c>
      <c r="H15" s="185" t="s">
        <v>928</v>
      </c>
      <c r="J15" s="185" t="s">
        <v>927</v>
      </c>
      <c r="K15" s="192">
        <f>(
VLOOKUP($J15,$A$2:$G$18,HLOOKUP(K$1,$B$1:$G$19,19,FALSE)+1,FALSE)
-
VLOOKUP($J15,'Ergebnisse Basisszenario'!$A$1:$H$21,HLOOKUP(K$1,'Ergebnisse Basisszenario'!$B$1:$G$21,21,FALSE)+1,FALSE)
)
/
VLOOKUP($J15,'Ergebnisse Basisszenario'!$A$1:$H$21,HLOOKUP(K$1,'Ergebnisse Basisszenario'!$B$1:$G$21,21,FALSE)+1,FALSE)</f>
        <v>3.0722876517016173E-2</v>
      </c>
      <c r="L15" s="192">
        <f>(
VLOOKUP($J15,$A$2:$G$18,HLOOKUP(L$1,$B$1:$G$19,19,FALSE)+1,FALSE)
-
VLOOKUP($J15,'Ergebnisse Basisszenario'!$A$1:$H$21,HLOOKUP(L$1,'Ergebnisse Basisszenario'!$B$1:$G$21,21,FALSE)+1,FALSE)
)
/
VLOOKUP($J15,'Ergebnisse Basisszenario'!$A$1:$H$21,HLOOKUP(L$1,'Ergebnisse Basisszenario'!$B$1:$G$21,21,FALSE)+1,FALSE)</f>
        <v>8.4179474649223943E-2</v>
      </c>
      <c r="M15" s="192">
        <f>(
VLOOKUP($J15,$A$2:$G$18,HLOOKUP(M$1,$B$1:$G$19,19,FALSE)+1,FALSE)
-
VLOOKUP($J15,'Ergebnisse Basisszenario'!$A$1:$H$21,HLOOKUP(M$1,'Ergebnisse Basisszenario'!$B$1:$G$21,21,FALSE)+1,FALSE)
)
/
VLOOKUP($J15,'Ergebnisse Basisszenario'!$A$1:$H$21,HLOOKUP(M$1,'Ergebnisse Basisszenario'!$B$1:$G$21,21,FALSE)+1,FALSE)</f>
        <v>4.6194728288690777E-2</v>
      </c>
      <c r="N15" s="192">
        <f>(
VLOOKUP($J15,$A$2:$G$18,HLOOKUP(N$1,$B$1:$G$19,19,FALSE)+1,FALSE)
-
VLOOKUP($J15,'Ergebnisse Basisszenario'!$A$1:$H$21,HLOOKUP(N$1,'Ergebnisse Basisszenario'!$B$1:$G$21,21,FALSE)+1,FALSE)
)
/
VLOOKUP($J15,'Ergebnisse Basisszenario'!$A$1:$H$21,HLOOKUP(N$1,'Ergebnisse Basisszenario'!$B$1:$G$21,21,FALSE)+1,FALSE)</f>
        <v>8.6905810927411148E-2</v>
      </c>
      <c r="O15" s="192">
        <f>(
VLOOKUP($J15,$A$2:$G$18,HLOOKUP(O$1,$B$1:$G$19,19,FALSE)+1,FALSE)
-
VLOOKUP($J15,'Ergebnisse Basisszenario'!$A$1:$H$21,HLOOKUP(O$1,'Ergebnisse Basisszenario'!$B$1:$G$21,21,FALSE)+1,FALSE)
)
/
VLOOKUP($J15,'Ergebnisse Basisszenario'!$A$1:$H$21,HLOOKUP(O$1,'Ergebnisse Basisszenario'!$B$1:$G$21,21,FALSE)+1,FALSE)</f>
        <v>6.616709272171413E-2</v>
      </c>
      <c r="P15" s="192">
        <f>(
VLOOKUP($J15,$A$2:$G$18,HLOOKUP(P$1,$B$1:$G$19,19,FALSE)+1,FALSE)
-
VLOOKUP($J15,'Ergebnisse Basisszenario'!$A$1:$H$21,HLOOKUP(P$1,'Ergebnisse Basisszenario'!$B$1:$G$21,21,FALSE)+1,FALSE)
)
/
VLOOKUP($J15,'Ergebnisse Basisszenario'!$A$1:$H$21,HLOOKUP(P$1,'Ergebnisse Basisszenario'!$B$1:$G$21,21,FALSE)+1,FALSE)</f>
        <v>9.1276866320733549E-2</v>
      </c>
      <c r="R15" s="185" t="s">
        <v>927</v>
      </c>
      <c r="S15" s="185" t="b">
        <f>IF(
IF((VLOOKUP($R15,$A$2:$G$18,HLOOKUP(S$1,$B$1:$G$19,19,FALSE)+1,FALSE)-VLOOKUP($R15,$A$2:$G$18,HLOOKUP(S$1,$B$1:$G$19,19,FALSE)+2,FALSE))&lt;0,TRUE,FALSE)
=
IF((VLOOKUP($R15,'Ergebnisse Basisszenario'!$A$2:$G$20,HLOOKUP(S$1,'Ergebnisse Basisszenario'!$B$1:$G$21,21,FALSE)+1,FALSE)-VLOOKUP($R15,'Ergebnisse Basisszenario'!$A$2:$G$20,HLOOKUP(S$1,'Ergebnisse Basisszenario'!$B$1:$G$21,21,FALSE)+2,FALSE))&lt;0,TRUE,FALSE),
TRUE,FALSE)</f>
        <v>1</v>
      </c>
      <c r="T15" s="185" t="b">
        <f>IF(
IF((VLOOKUP($R15,$A$2:$G$18,HLOOKUP(T$1,$B$1:$G$19,19,FALSE)+1,FALSE)-VLOOKUP($R15,$A$2:$G$18,HLOOKUP(T$1,$B$1:$G$19,19,FALSE)+2,FALSE))&lt;0,TRUE,FALSE)
=
IF((VLOOKUP($R15,'Ergebnisse Basisszenario'!$A$2:$G$20,HLOOKUP(T$1,'Ergebnisse Basisszenario'!$B$1:$G$21,21,FALSE)+1,FALSE)-VLOOKUP($R15,'Ergebnisse Basisszenario'!$A$2:$G$20,HLOOKUP(T$1,'Ergebnisse Basisszenario'!$B$1:$G$21,21,FALSE)+2,FALSE))&lt;0,TRUE,FALSE),
TRUE,FALSE)</f>
        <v>1</v>
      </c>
      <c r="U15" s="185" t="b">
        <f>IF(
IF((VLOOKUP($R15,$A$2:$G$18,HLOOKUP(U$1,$B$1:$G$19,19,FALSE)+1,FALSE)-VLOOKUP($R15,$A$2:$G$18,HLOOKUP(U$1,$B$1:$G$19,19,FALSE)+2,FALSE))&lt;0,TRUE,FALSE)
=
IF((VLOOKUP($R15,'Ergebnisse Basisszenario'!$A$2:$G$20,HLOOKUP(U$1,'Ergebnisse Basisszenario'!$B$1:$G$21,21,FALSE)+1,FALSE)-VLOOKUP($R15,'Ergebnisse Basisszenario'!$A$2:$G$20,HLOOKUP(U$1,'Ergebnisse Basisszenario'!$B$1:$G$21,21,FALSE)+2,FALSE))&lt;0,TRUE,FALSE),
TRUE,FALSE)</f>
        <v>1</v>
      </c>
    </row>
    <row r="16" spans="1:21" x14ac:dyDescent="0.3">
      <c r="A16" s="185" t="s">
        <v>929</v>
      </c>
      <c r="B16" s="191">
        <v>6.2235834674208037E-6</v>
      </c>
      <c r="C16" s="191">
        <v>9.3948616134690568E-7</v>
      </c>
      <c r="D16" s="191">
        <v>2.0557989047050288E-6</v>
      </c>
      <c r="E16" s="191">
        <v>9.1449263845916244E-7</v>
      </c>
      <c r="F16" s="191">
        <v>7.6072183761687954E-6</v>
      </c>
      <c r="G16" s="191">
        <v>1.279155011385794E-6</v>
      </c>
      <c r="H16" s="185" t="s">
        <v>930</v>
      </c>
      <c r="J16" s="185" t="s">
        <v>929</v>
      </c>
      <c r="K16" s="192">
        <f>(
VLOOKUP($J16,$A$2:$G$18,HLOOKUP(K$1,$B$1:$G$19,19,FALSE)+1,FALSE)
-
VLOOKUP($J16,'Ergebnisse Basisszenario'!$A$1:$H$21,HLOOKUP(K$1,'Ergebnisse Basisszenario'!$B$1:$G$21,21,FALSE)+1,FALSE)
)
/
VLOOKUP($J16,'Ergebnisse Basisszenario'!$A$1:$H$21,HLOOKUP(K$1,'Ergebnisse Basisszenario'!$B$1:$G$21,21,FALSE)+1,FALSE)</f>
        <v>-1.851913347832681E-3</v>
      </c>
      <c r="L16" s="192">
        <f>(
VLOOKUP($J16,$A$2:$G$18,HLOOKUP(L$1,$B$1:$G$19,19,FALSE)+1,FALSE)
-
VLOOKUP($J16,'Ergebnisse Basisszenario'!$A$1:$H$21,HLOOKUP(L$1,'Ergebnisse Basisszenario'!$B$1:$G$21,21,FALSE)+1,FALSE)
)
/
VLOOKUP($J16,'Ergebnisse Basisszenario'!$A$1:$H$21,HLOOKUP(L$1,'Ergebnisse Basisszenario'!$B$1:$G$21,21,FALSE)+1,FALSE)</f>
        <v>-2.1531264178090533E-2</v>
      </c>
      <c r="M16" s="192">
        <f>(
VLOOKUP($J16,$A$2:$G$18,HLOOKUP(M$1,$B$1:$G$19,19,FALSE)+1,FALSE)
-
VLOOKUP($J16,'Ergebnisse Basisszenario'!$A$1:$H$21,HLOOKUP(M$1,'Ergebnisse Basisszenario'!$B$1:$G$21,21,FALSE)+1,FALSE)
)
/
VLOOKUP($J16,'Ergebnisse Basisszenario'!$A$1:$H$21,HLOOKUP(M$1,'Ergebnisse Basisszenario'!$B$1:$G$21,21,FALSE)+1,FALSE)</f>
        <v>-5.4279326028280998E-3</v>
      </c>
      <c r="N16" s="192">
        <f>(
VLOOKUP($J16,$A$2:$G$18,HLOOKUP(N$1,$B$1:$G$19,19,FALSE)+1,FALSE)
-
VLOOKUP($J16,'Ergebnisse Basisszenario'!$A$1:$H$21,HLOOKUP(N$1,'Ergebnisse Basisszenario'!$B$1:$G$21,21,FALSE)+1,FALSE)
)
/
VLOOKUP($J16,'Ergebnisse Basisszenario'!$A$1:$H$21,HLOOKUP(N$1,'Ergebnisse Basisszenario'!$B$1:$G$21,21,FALSE)+1,FALSE)</f>
        <v>-2.4500598449382335E-2</v>
      </c>
      <c r="O16" s="192">
        <f>(
VLOOKUP($J16,$A$2:$G$18,HLOOKUP(O$1,$B$1:$G$19,19,FALSE)+1,FALSE)
-
VLOOKUP($J16,'Ergebnisse Basisszenario'!$A$1:$H$21,HLOOKUP(O$1,'Ergebnisse Basisszenario'!$B$1:$G$21,21,FALSE)+1,FALSE)
)
/
VLOOKUP($J16,'Ergebnisse Basisszenario'!$A$1:$H$21,HLOOKUP(O$1,'Ergebnisse Basisszenario'!$B$1:$G$21,21,FALSE)+1,FALSE)</f>
        <v>-8.2659726425777513E-3</v>
      </c>
      <c r="P16" s="192">
        <f>(
VLOOKUP($J16,$A$2:$G$18,HLOOKUP(P$1,$B$1:$G$19,19,FALSE)+1,FALSE)
-
VLOOKUP($J16,'Ergebnisse Basisszenario'!$A$1:$H$21,HLOOKUP(P$1,'Ergebnisse Basisszenario'!$B$1:$G$21,21,FALSE)+1,FALSE)
)
/
VLOOKUP($J16,'Ergebnisse Basisszenario'!$A$1:$H$21,HLOOKUP(P$1,'Ergebnisse Basisszenario'!$B$1:$G$21,21,FALSE)+1,FALSE)</f>
        <v>-2.77176799232417E-2</v>
      </c>
      <c r="R16" s="185" t="s">
        <v>929</v>
      </c>
      <c r="S16" s="185" t="b">
        <f>IF(
IF((VLOOKUP($R16,$A$2:$G$18,HLOOKUP(S$1,$B$1:$G$19,19,FALSE)+1,FALSE)-VLOOKUP($R16,$A$2:$G$18,HLOOKUP(S$1,$B$1:$G$19,19,FALSE)+2,FALSE))&lt;0,TRUE,FALSE)
=
IF((VLOOKUP($R16,'Ergebnisse Basisszenario'!$A$2:$G$20,HLOOKUP(S$1,'Ergebnisse Basisszenario'!$B$1:$G$21,21,FALSE)+1,FALSE)-VLOOKUP($R16,'Ergebnisse Basisszenario'!$A$2:$G$20,HLOOKUP(S$1,'Ergebnisse Basisszenario'!$B$1:$G$21,21,FALSE)+2,FALSE))&lt;0,TRUE,FALSE),
TRUE,FALSE)</f>
        <v>1</v>
      </c>
      <c r="T16" s="185" t="b">
        <f>IF(
IF((VLOOKUP($R16,$A$2:$G$18,HLOOKUP(T$1,$B$1:$G$19,19,FALSE)+1,FALSE)-VLOOKUP($R16,$A$2:$G$18,HLOOKUP(T$1,$B$1:$G$19,19,FALSE)+2,FALSE))&lt;0,TRUE,FALSE)
=
IF((VLOOKUP($R16,'Ergebnisse Basisszenario'!$A$2:$G$20,HLOOKUP(T$1,'Ergebnisse Basisszenario'!$B$1:$G$21,21,FALSE)+1,FALSE)-VLOOKUP($R16,'Ergebnisse Basisszenario'!$A$2:$G$20,HLOOKUP(T$1,'Ergebnisse Basisszenario'!$B$1:$G$21,21,FALSE)+2,FALSE))&lt;0,TRUE,FALSE),
TRUE,FALSE)</f>
        <v>1</v>
      </c>
      <c r="U16" s="185" t="b">
        <f>IF(
IF((VLOOKUP($R16,$A$2:$G$18,HLOOKUP(U$1,$B$1:$G$19,19,FALSE)+1,FALSE)-VLOOKUP($R16,$A$2:$G$18,HLOOKUP(U$1,$B$1:$G$19,19,FALSE)+2,FALSE))&lt;0,TRUE,FALSE)
=
IF((VLOOKUP($R16,'Ergebnisse Basisszenario'!$A$2:$G$20,HLOOKUP(U$1,'Ergebnisse Basisszenario'!$B$1:$G$21,21,FALSE)+1,FALSE)-VLOOKUP($R16,'Ergebnisse Basisszenario'!$A$2:$G$20,HLOOKUP(U$1,'Ergebnisse Basisszenario'!$B$1:$G$21,21,FALSE)+2,FALSE))&lt;0,TRUE,FALSE),
TRUE,FALSE)</f>
        <v>1</v>
      </c>
    </row>
    <row r="17" spans="1:21" x14ac:dyDescent="0.3">
      <c r="A17" s="185" t="s">
        <v>931</v>
      </c>
      <c r="B17" s="191">
        <v>0.35536611654255362</v>
      </c>
      <c r="C17" s="191">
        <v>0.10296058221554991</v>
      </c>
      <c r="D17" s="191">
        <v>0.18818998163732309</v>
      </c>
      <c r="E17" s="191">
        <v>0.11135315481173801</v>
      </c>
      <c r="F17" s="191">
        <v>0.57452640141029887</v>
      </c>
      <c r="G17" s="191">
        <v>0.1603027100366293</v>
      </c>
      <c r="H17" s="185" t="s">
        <v>932</v>
      </c>
      <c r="J17" s="185" t="s">
        <v>931</v>
      </c>
      <c r="K17" s="192">
        <f>(
VLOOKUP($J17,$A$2:$G$18,HLOOKUP(K$1,$B$1:$G$19,19,FALSE)+1,FALSE)
-
VLOOKUP($J17,'Ergebnisse Basisszenario'!$A$1:$H$21,HLOOKUP(K$1,'Ergebnisse Basisszenario'!$B$1:$G$21,21,FALSE)+1,FALSE)
)
/
VLOOKUP($J17,'Ergebnisse Basisszenario'!$A$1:$H$21,HLOOKUP(K$1,'Ergebnisse Basisszenario'!$B$1:$G$21,21,FALSE)+1,FALSE)</f>
        <v>4.1731885735706393E-3</v>
      </c>
      <c r="L17" s="192">
        <f>(
VLOOKUP($J17,$A$2:$G$18,HLOOKUP(L$1,$B$1:$G$19,19,FALSE)+1,FALSE)
-
VLOOKUP($J17,'Ergebnisse Basisszenario'!$A$1:$H$21,HLOOKUP(L$1,'Ergebnisse Basisszenario'!$B$1:$G$21,21,FALSE)+1,FALSE)
)
/
VLOOKUP($J17,'Ergebnisse Basisszenario'!$A$1:$H$21,HLOOKUP(L$1,'Ergebnisse Basisszenario'!$B$1:$G$21,21,FALSE)+1,FALSE)</f>
        <v>2.6358888227841656E-2</v>
      </c>
      <c r="M17" s="192">
        <f>(
VLOOKUP($J17,$A$2:$G$18,HLOOKUP(M$1,$B$1:$G$19,19,FALSE)+1,FALSE)
-
VLOOKUP($J17,'Ergebnisse Basisszenario'!$A$1:$H$21,HLOOKUP(M$1,'Ergebnisse Basisszenario'!$B$1:$G$21,21,FALSE)+1,FALSE)
)
/
VLOOKUP($J17,'Ergebnisse Basisszenario'!$A$1:$H$21,HLOOKUP(M$1,'Ergebnisse Basisszenario'!$B$1:$G$21,21,FALSE)+1,FALSE)</f>
        <v>7.6865135744808881E-3</v>
      </c>
      <c r="N17" s="192">
        <f>(
VLOOKUP($J17,$A$2:$G$18,HLOOKUP(N$1,$B$1:$G$19,19,FALSE)+1,FALSE)
-
VLOOKUP($J17,'Ergebnisse Basisszenario'!$A$1:$H$21,HLOOKUP(N$1,'Ergebnisse Basisszenario'!$B$1:$G$21,21,FALSE)+1,FALSE)
)
/
VLOOKUP($J17,'Ergebnisse Basisszenario'!$A$1:$H$21,HLOOKUP(N$1,'Ergebnisse Basisszenario'!$B$1:$G$21,21,FALSE)+1,FALSE)</f>
        <v>2.7103159625553659E-2</v>
      </c>
      <c r="O17" s="192">
        <f>(
VLOOKUP($J17,$A$2:$G$18,HLOOKUP(O$1,$B$1:$G$19,19,FALSE)+1,FALSE)
-
VLOOKUP($J17,'Ergebnisse Basisszenario'!$A$1:$H$21,HLOOKUP(O$1,'Ergebnisse Basisszenario'!$B$1:$G$21,21,FALSE)+1,FALSE)
)
/
VLOOKUP($J17,'Ergebnisse Basisszenario'!$A$1:$H$21,HLOOKUP(O$1,'Ergebnisse Basisszenario'!$B$1:$G$21,21,FALSE)+1,FALSE)</f>
        <v>1.4319639507934367E-2</v>
      </c>
      <c r="P17" s="192">
        <f>(
VLOOKUP($J17,$A$2:$G$18,HLOOKUP(P$1,$B$1:$G$19,19,FALSE)+1,FALSE)
-
VLOOKUP($J17,'Ergebnisse Basisszenario'!$A$1:$H$21,HLOOKUP(P$1,'Ergebnisse Basisszenario'!$B$1:$G$21,21,FALSE)+1,FALSE)
)
/
VLOOKUP($J17,'Ergebnisse Basisszenario'!$A$1:$H$21,HLOOKUP(P$1,'Ergebnisse Basisszenario'!$B$1:$G$21,21,FALSE)+1,FALSE)</f>
        <v>2.9976032813701758E-2</v>
      </c>
      <c r="R17" s="185" t="s">
        <v>931</v>
      </c>
      <c r="S17" s="185" t="b">
        <f>IF(
IF((VLOOKUP($R17,$A$2:$G$18,HLOOKUP(S$1,$B$1:$G$19,19,FALSE)+1,FALSE)-VLOOKUP($R17,$A$2:$G$18,HLOOKUP(S$1,$B$1:$G$19,19,FALSE)+2,FALSE))&lt;0,TRUE,FALSE)
=
IF((VLOOKUP($R17,'Ergebnisse Basisszenario'!$A$2:$G$20,HLOOKUP(S$1,'Ergebnisse Basisszenario'!$B$1:$G$21,21,FALSE)+1,FALSE)-VLOOKUP($R17,'Ergebnisse Basisszenario'!$A$2:$G$20,HLOOKUP(S$1,'Ergebnisse Basisszenario'!$B$1:$G$21,21,FALSE)+2,FALSE))&lt;0,TRUE,FALSE),
TRUE,FALSE)</f>
        <v>1</v>
      </c>
      <c r="T17" s="185" t="b">
        <f>IF(
IF((VLOOKUP($R17,$A$2:$G$18,HLOOKUP(T$1,$B$1:$G$19,19,FALSE)+1,FALSE)-VLOOKUP($R17,$A$2:$G$18,HLOOKUP(T$1,$B$1:$G$19,19,FALSE)+2,FALSE))&lt;0,TRUE,FALSE)
=
IF((VLOOKUP($R17,'Ergebnisse Basisszenario'!$A$2:$G$20,HLOOKUP(T$1,'Ergebnisse Basisszenario'!$B$1:$G$21,21,FALSE)+1,FALSE)-VLOOKUP($R17,'Ergebnisse Basisszenario'!$A$2:$G$20,HLOOKUP(T$1,'Ergebnisse Basisszenario'!$B$1:$G$21,21,FALSE)+2,FALSE))&lt;0,TRUE,FALSE),
TRUE,FALSE)</f>
        <v>1</v>
      </c>
      <c r="U17" s="185" t="b">
        <f>IF(
IF((VLOOKUP($R17,$A$2:$G$18,HLOOKUP(U$1,$B$1:$G$19,19,FALSE)+1,FALSE)-VLOOKUP($R17,$A$2:$G$18,HLOOKUP(U$1,$B$1:$G$19,19,FALSE)+2,FALSE))&lt;0,TRUE,FALSE)
=
IF((VLOOKUP($R17,'Ergebnisse Basisszenario'!$A$2:$G$20,HLOOKUP(U$1,'Ergebnisse Basisszenario'!$B$1:$G$21,21,FALSE)+1,FALSE)-VLOOKUP($R17,'Ergebnisse Basisszenario'!$A$2:$G$20,HLOOKUP(U$1,'Ergebnisse Basisszenario'!$B$1:$G$21,21,FALSE)+2,FALSE))&lt;0,TRUE,FALSE),
TRUE,FALSE)</f>
        <v>1</v>
      </c>
    </row>
    <row r="18" spans="1:21" x14ac:dyDescent="0.3">
      <c r="A18" s="185" t="s">
        <v>933</v>
      </c>
      <c r="B18" s="191">
        <v>37.908511671356528</v>
      </c>
      <c r="C18" s="191">
        <v>8.5116762223963267</v>
      </c>
      <c r="D18" s="191">
        <v>21.139706539118261</v>
      </c>
      <c r="E18" s="191">
        <v>9.1423510121423011</v>
      </c>
      <c r="F18" s="191">
        <v>58.870672113858269</v>
      </c>
      <c r="G18" s="191">
        <v>12.102779554568681</v>
      </c>
      <c r="H18" s="185" t="s">
        <v>934</v>
      </c>
      <c r="J18" s="185" t="s">
        <v>933</v>
      </c>
      <c r="K18" s="192">
        <f>(
VLOOKUP($J18,$A$2:$G$18,HLOOKUP(K$1,$B$1:$G$19,19,FALSE)+1,FALSE)
-
VLOOKUP($J18,'Ergebnisse Basisszenario'!$A$1:$H$21,HLOOKUP(K$1,'Ergebnisse Basisszenario'!$B$1:$G$21,21,FALSE)+1,FALSE)
)
/
VLOOKUP($J18,'Ergebnisse Basisszenario'!$A$1:$H$21,HLOOKUP(K$1,'Ergebnisse Basisszenario'!$B$1:$G$21,21,FALSE)+1,FALSE)</f>
        <v>-3.0480338970848508E-2</v>
      </c>
      <c r="L18" s="192">
        <f>(
VLOOKUP($J18,$A$2:$G$18,HLOOKUP(L$1,$B$1:$G$19,19,FALSE)+1,FALSE)
-
VLOOKUP($J18,'Ergebnisse Basisszenario'!$A$1:$H$21,HLOOKUP(L$1,'Ergebnisse Basisszenario'!$B$1:$G$21,21,FALSE)+1,FALSE)
)
/
VLOOKUP($J18,'Ergebnisse Basisszenario'!$A$1:$H$21,HLOOKUP(L$1,'Ergebnisse Basisszenario'!$B$1:$G$21,21,FALSE)+1,FALSE)</f>
        <v>-0.20043696920005716</v>
      </c>
      <c r="M18" s="192">
        <f>(
VLOOKUP($J18,$A$2:$G$18,HLOOKUP(M$1,$B$1:$G$19,19,FALSE)+1,FALSE)
-
VLOOKUP($J18,'Ergebnisse Basisszenario'!$A$1:$H$21,HLOOKUP(M$1,'Ergebnisse Basisszenario'!$B$1:$G$21,21,FALSE)+1,FALSE)
)
/
VLOOKUP($J18,'Ergebnisse Basisszenario'!$A$1:$H$21,HLOOKUP(M$1,'Ergebnisse Basisszenario'!$B$1:$G$21,21,FALSE)+1,FALSE)</f>
        <v>-5.1927351242522977E-2</v>
      </c>
      <c r="N18" s="192">
        <f>(
VLOOKUP($J18,$A$2:$G$18,HLOOKUP(N$1,$B$1:$G$19,19,FALSE)+1,FALSE)
-
VLOOKUP($J18,'Ergebnisse Basisszenario'!$A$1:$H$21,HLOOKUP(N$1,'Ergebnisse Basisszenario'!$B$1:$G$21,21,FALSE)+1,FALSE)
)
/
VLOOKUP($J18,'Ergebnisse Basisszenario'!$A$1:$H$21,HLOOKUP(N$1,'Ergebnisse Basisszenario'!$B$1:$G$21,21,FALSE)+1,FALSE)</f>
        <v>-0.20589331874645481</v>
      </c>
      <c r="O18" s="192">
        <f>(
VLOOKUP($J18,$A$2:$G$18,HLOOKUP(O$1,$B$1:$G$19,19,FALSE)+1,FALSE)
-
VLOOKUP($J18,'Ergebnisse Basisszenario'!$A$1:$H$21,HLOOKUP(O$1,'Ergebnisse Basisszenario'!$B$1:$G$21,21,FALSE)+1,FALSE)
)
/
VLOOKUP($J18,'Ergebnisse Basisszenario'!$A$1:$H$21,HLOOKUP(O$1,'Ergebnisse Basisszenario'!$B$1:$G$21,21,FALSE)+1,FALSE)</f>
        <v>-0.10003594713814316</v>
      </c>
      <c r="P18" s="192">
        <f>(
VLOOKUP($J18,$A$2:$G$18,HLOOKUP(P$1,$B$1:$G$19,19,FALSE)+1,FALSE)
-
VLOOKUP($J18,'Ergebnisse Basisszenario'!$A$1:$H$21,HLOOKUP(P$1,'Ergebnisse Basisszenario'!$B$1:$G$21,21,FALSE)+1,FALSE)
)
/
VLOOKUP($J18,'Ergebnisse Basisszenario'!$A$1:$H$21,HLOOKUP(P$1,'Ergebnisse Basisszenario'!$B$1:$G$21,21,FALSE)+1,FALSE)</f>
        <v>-0.23719229812117876</v>
      </c>
      <c r="R18" s="185" t="s">
        <v>933</v>
      </c>
      <c r="S18" s="185" t="b">
        <f>IF(
IF((VLOOKUP($R18,$A$2:$G$18,HLOOKUP(S$1,$B$1:$G$19,19,FALSE)+1,FALSE)-VLOOKUP($R18,$A$2:$G$18,HLOOKUP(S$1,$B$1:$G$19,19,FALSE)+2,FALSE))&lt;0,TRUE,FALSE)
=
IF((VLOOKUP($R18,'Ergebnisse Basisszenario'!$A$2:$G$20,HLOOKUP(S$1,'Ergebnisse Basisszenario'!$B$1:$G$21,21,FALSE)+1,FALSE)-VLOOKUP($R18,'Ergebnisse Basisszenario'!$A$2:$G$20,HLOOKUP(S$1,'Ergebnisse Basisszenario'!$B$1:$G$21,21,FALSE)+2,FALSE))&lt;0,TRUE,FALSE),
TRUE,FALSE)</f>
        <v>1</v>
      </c>
      <c r="T18" s="185" t="b">
        <f>IF(
IF((VLOOKUP($R18,$A$2:$G$18,HLOOKUP(T$1,$B$1:$G$19,19,FALSE)+1,FALSE)-VLOOKUP($R18,$A$2:$G$18,HLOOKUP(T$1,$B$1:$G$19,19,FALSE)+2,FALSE))&lt;0,TRUE,FALSE)
=
IF((VLOOKUP($R18,'Ergebnisse Basisszenario'!$A$2:$G$20,HLOOKUP(T$1,'Ergebnisse Basisszenario'!$B$1:$G$21,21,FALSE)+1,FALSE)-VLOOKUP($R18,'Ergebnisse Basisszenario'!$A$2:$G$20,HLOOKUP(T$1,'Ergebnisse Basisszenario'!$B$1:$G$21,21,FALSE)+2,FALSE))&lt;0,TRUE,FALSE),
TRUE,FALSE)</f>
        <v>1</v>
      </c>
      <c r="U18" s="185" t="b">
        <f>IF(
IF((VLOOKUP($R18,$A$2:$G$18,HLOOKUP(U$1,$B$1:$G$19,19,FALSE)+1,FALSE)-VLOOKUP($R18,$A$2:$G$18,HLOOKUP(U$1,$B$1:$G$19,19,FALSE)+2,FALSE))&lt;0,TRUE,FALSE)
=
IF((VLOOKUP($R18,'Ergebnisse Basisszenario'!$A$2:$G$20,HLOOKUP(U$1,'Ergebnisse Basisszenario'!$B$1:$G$21,21,FALSE)+1,FALSE)-VLOOKUP($R18,'Ergebnisse Basisszenario'!$A$2:$G$20,HLOOKUP(U$1,'Ergebnisse Basisszenario'!$B$1:$G$21,21,FALSE)+2,FALSE))&lt;0,TRUE,FALSE),
TRUE,FALSE)</f>
        <v>1</v>
      </c>
    </row>
    <row r="19" spans="1:21" x14ac:dyDescent="0.3">
      <c r="B19" s="185">
        <v>1</v>
      </c>
      <c r="C19" s="185">
        <v>2</v>
      </c>
      <c r="D19" s="185">
        <v>3</v>
      </c>
      <c r="E19" s="185">
        <v>4</v>
      </c>
      <c r="F19" s="185">
        <v>5</v>
      </c>
      <c r="G19" s="185">
        <v>6</v>
      </c>
    </row>
    <row r="21" spans="1:21" x14ac:dyDescent="0.3">
      <c r="A21" s="186" t="s">
        <v>938</v>
      </c>
      <c r="B21" s="247" cm="1">
        <f t="array" ref="B21">SUMPRODUCT((B2:B18&lt;C2:C18)*1)</f>
        <v>0</v>
      </c>
      <c r="C21" s="247"/>
      <c r="D21" s="247" cm="1">
        <f t="array" ref="D21">SUMPRODUCT((D2:D18&lt;E2:E18)*1)</f>
        <v>1</v>
      </c>
      <c r="E21" s="247"/>
      <c r="F21" s="247" cm="1">
        <f t="array" ref="F21">SUMPRODUCT((F2:F18&lt;G2:G18)*1)</f>
        <v>0</v>
      </c>
      <c r="G21" s="247"/>
    </row>
    <row r="22" spans="1:21" x14ac:dyDescent="0.3">
      <c r="A22" s="208" t="s">
        <v>1000</v>
      </c>
    </row>
    <row r="23" spans="1:21" x14ac:dyDescent="0.3">
      <c r="A23" s="207" t="s">
        <v>910</v>
      </c>
    </row>
    <row r="24" spans="1:21" x14ac:dyDescent="0.3">
      <c r="A24" s="186"/>
      <c r="B24" s="247" t="s">
        <v>898</v>
      </c>
      <c r="C24" s="247"/>
      <c r="D24" s="247" t="s">
        <v>899</v>
      </c>
      <c r="E24" s="247"/>
      <c r="F24" s="247" t="s">
        <v>900</v>
      </c>
      <c r="G24" s="247"/>
    </row>
    <row r="25" spans="1:21" x14ac:dyDescent="0.3">
      <c r="B25" s="185" t="s">
        <v>660</v>
      </c>
      <c r="C25" s="185" t="s">
        <v>669</v>
      </c>
      <c r="D25" s="185" t="s">
        <v>660</v>
      </c>
      <c r="E25" s="185" t="s">
        <v>669</v>
      </c>
      <c r="F25" s="185" t="s">
        <v>660</v>
      </c>
      <c r="G25" s="185" t="s">
        <v>669</v>
      </c>
    </row>
    <row r="26" spans="1:21" x14ac:dyDescent="0.3">
      <c r="A26" s="185" t="s">
        <v>939</v>
      </c>
      <c r="B26" s="188">
        <f>VLOOKUP($A$23,$A$2:$G$18,2,FALSE)</f>
        <v>1180.5674603732859</v>
      </c>
      <c r="C26" s="188">
        <f>VLOOKUP($A$23,$A$2:$G$18,3,FALSE)</f>
        <v>788.57697279065349</v>
      </c>
      <c r="D26" s="188">
        <f>VLOOKUP($A$23,$A$2:$G$18,4,FALSE)</f>
        <v>1433.0541406707721</v>
      </c>
      <c r="E26" s="188">
        <f>VLOOKUP($A$23,$A$2:$G$18,5,FALSE)</f>
        <v>915.27315719285707</v>
      </c>
      <c r="F26" s="188">
        <f>VLOOKUP($A$23,$A$2:$G$18,6,FALSE)</f>
        <v>3103.0156954445351</v>
      </c>
      <c r="G26" s="188">
        <f>VLOOKUP($A$23,$A$2:$G$18,7,FALSE)</f>
        <v>1323.347778960298</v>
      </c>
    </row>
    <row r="27" spans="1:21" x14ac:dyDescent="0.3">
      <c r="A27" s="185" t="s">
        <v>940</v>
      </c>
      <c r="B27" s="187">
        <f>VLOOKUP($A$23,'Ergebnisse Basisszenario'!$A$2:$G$20,2,FALSE)</f>
        <v>1184.960280188257</v>
      </c>
      <c r="C27" s="187">
        <f>VLOOKUP($A$23,'Ergebnisse Basisszenario'!$A$2:$G$20,3,FALSE)</f>
        <v>796.43775995896794</v>
      </c>
      <c r="D27" s="187">
        <f>VLOOKUP($A$23,'Ergebnisse Basisszenario'!$A$2:$G$20,4,FALSE)</f>
        <v>1437.302306039132</v>
      </c>
      <c r="E27" s="187">
        <f>VLOOKUP($A$23,'Ergebnisse Basisszenario'!$A$2:$G$20,5,FALSE)</f>
        <v>923.98149267372241</v>
      </c>
      <c r="F27" s="187">
        <f>VLOOKUP($A$23,'Ergebnisse Basisszenario'!$A$2:$G$20,6,FALSE)</f>
        <v>3127.0822374370741</v>
      </c>
      <c r="G27" s="187">
        <f>VLOOKUP($A$23,'Ergebnisse Basisszenario'!$A$2:$G$20,7,FALSE)</f>
        <v>1337.1643182509399</v>
      </c>
    </row>
    <row r="28" spans="1:21" x14ac:dyDescent="0.3">
      <c r="A28" s="185" t="s">
        <v>941</v>
      </c>
      <c r="B28" s="185">
        <f>B26-B27</f>
        <v>-4.3928198149710624</v>
      </c>
      <c r="C28" s="185">
        <f t="shared" ref="C28:G28" si="0">C26-C27</f>
        <v>-7.8607871683144594</v>
      </c>
      <c r="D28" s="185">
        <f t="shared" si="0"/>
        <v>-4.2481653683598779</v>
      </c>
      <c r="E28" s="185">
        <f t="shared" si="0"/>
        <v>-8.7083354808653439</v>
      </c>
      <c r="F28" s="185">
        <f t="shared" si="0"/>
        <v>-24.066541992538987</v>
      </c>
      <c r="G28" s="185">
        <f t="shared" si="0"/>
        <v>-13.816539290641913</v>
      </c>
    </row>
    <row r="29" spans="1:21" x14ac:dyDescent="0.3">
      <c r="A29" s="185" t="s">
        <v>942</v>
      </c>
      <c r="B29" s="185">
        <f>IF(B28&gt;0,B28,0)</f>
        <v>0</v>
      </c>
      <c r="C29" s="185">
        <f t="shared" ref="C29:G29" si="1">IF(C28&gt;0,C28,0)</f>
        <v>0</v>
      </c>
      <c r="D29" s="185">
        <f t="shared" si="1"/>
        <v>0</v>
      </c>
      <c r="E29" s="185">
        <f t="shared" si="1"/>
        <v>0</v>
      </c>
      <c r="F29" s="185">
        <f t="shared" si="1"/>
        <v>0</v>
      </c>
      <c r="G29" s="185">
        <f t="shared" si="1"/>
        <v>0</v>
      </c>
    </row>
    <row r="30" spans="1:21" x14ac:dyDescent="0.3">
      <c r="A30" s="185" t="s">
        <v>943</v>
      </c>
      <c r="B30" s="185">
        <f>IF(B28&lt;0,B28,0)*(-1)</f>
        <v>4.3928198149710624</v>
      </c>
      <c r="C30" s="185">
        <f t="shared" ref="C30:G30" si="2">IF(C28&lt;0,C28,0)*(-1)</f>
        <v>7.8607871683144594</v>
      </c>
      <c r="D30" s="185">
        <f t="shared" si="2"/>
        <v>4.2481653683598779</v>
      </c>
      <c r="E30" s="185">
        <f t="shared" si="2"/>
        <v>8.7083354808653439</v>
      </c>
      <c r="F30" s="185">
        <f t="shared" si="2"/>
        <v>24.066541992538987</v>
      </c>
      <c r="G30" s="185">
        <f t="shared" si="2"/>
        <v>13.816539290641913</v>
      </c>
    </row>
    <row r="31" spans="1:21" x14ac:dyDescent="0.3">
      <c r="A31" s="185" t="s">
        <v>944</v>
      </c>
      <c r="B31" s="185">
        <f>IF(B26&lt;B27,B26,B27)</f>
        <v>1180.5674603732859</v>
      </c>
      <c r="C31" s="185">
        <f t="shared" ref="C31:G31" si="3">IF(C26&lt;C27,C26,C27)</f>
        <v>788.57697279065349</v>
      </c>
      <c r="D31" s="185">
        <f t="shared" si="3"/>
        <v>1433.0541406707721</v>
      </c>
      <c r="E31" s="185">
        <f t="shared" si="3"/>
        <v>915.27315719285707</v>
      </c>
      <c r="F31" s="185">
        <f t="shared" si="3"/>
        <v>3103.0156954445351</v>
      </c>
      <c r="G31" s="185">
        <f t="shared" si="3"/>
        <v>1323.347778960298</v>
      </c>
    </row>
    <row r="32" spans="1:21" x14ac:dyDescent="0.3">
      <c r="A32" s="185" t="s">
        <v>945</v>
      </c>
      <c r="B32" s="201">
        <f>B28/B27</f>
        <v>-3.7071452000679433E-3</v>
      </c>
      <c r="C32" s="201">
        <f t="shared" ref="C32:G32" si="4">C28/C27</f>
        <v>-9.8699327976607271E-3</v>
      </c>
      <c r="D32" s="201">
        <f t="shared" si="4"/>
        <v>-2.9556519533227672E-3</v>
      </c>
      <c r="E32" s="201">
        <f t="shared" si="4"/>
        <v>-9.4247942733853476E-3</v>
      </c>
      <c r="F32" s="201">
        <f t="shared" si="4"/>
        <v>-7.6961653596496673E-3</v>
      </c>
      <c r="G32" s="201">
        <f t="shared" si="4"/>
        <v>-1.0332716108304815E-2</v>
      </c>
    </row>
    <row r="33" spans="1:7" x14ac:dyDescent="0.3">
      <c r="A33" s="185" t="s">
        <v>946</v>
      </c>
      <c r="B33" s="188">
        <f>SUM(B29:B31)+SUM(B29:B31)*0.05</f>
        <v>1244.2082941976698</v>
      </c>
      <c r="C33" s="188">
        <f t="shared" ref="C33:G33" si="5">SUM(C29:C31)+SUM(C29:C31)*0.05</f>
        <v>836.2596479569163</v>
      </c>
      <c r="D33" s="188">
        <f t="shared" si="5"/>
        <v>1509.1674213410886</v>
      </c>
      <c r="E33" s="188">
        <f t="shared" si="5"/>
        <v>970.18056730740852</v>
      </c>
      <c r="F33" s="188">
        <f t="shared" si="5"/>
        <v>3283.4363493089277</v>
      </c>
      <c r="G33" s="188">
        <f t="shared" si="5"/>
        <v>1404.0225341634869</v>
      </c>
    </row>
  </sheetData>
  <mergeCells count="6">
    <mergeCell ref="B21:C21"/>
    <mergeCell ref="D21:E21"/>
    <mergeCell ref="F21:G21"/>
    <mergeCell ref="B24:C24"/>
    <mergeCell ref="D24:E24"/>
    <mergeCell ref="F24:G24"/>
  </mergeCells>
  <conditionalFormatting sqref="B2:C2">
    <cfRule type="colorScale" priority="53">
      <colorScale>
        <cfvo type="min"/>
        <cfvo type="percentile" val="50"/>
        <cfvo type="max"/>
        <color rgb="FF63BE7B"/>
        <color rgb="FFFFEB84"/>
        <color rgb="FFF8696B"/>
      </colorScale>
    </cfRule>
  </conditionalFormatting>
  <conditionalFormatting sqref="B3:C3">
    <cfRule type="colorScale" priority="52">
      <colorScale>
        <cfvo type="min"/>
        <cfvo type="percentile" val="50"/>
        <cfvo type="max"/>
        <color rgb="FF63BE7B"/>
        <color rgb="FFFFEB84"/>
        <color rgb="FFF8696B"/>
      </colorScale>
    </cfRule>
  </conditionalFormatting>
  <conditionalFormatting sqref="B4:C4">
    <cfRule type="colorScale" priority="51">
      <colorScale>
        <cfvo type="min"/>
        <cfvo type="percentile" val="50"/>
        <cfvo type="max"/>
        <color rgb="FF63BE7B"/>
        <color rgb="FFFFEB84"/>
        <color rgb="FFF8696B"/>
      </colorScale>
    </cfRule>
  </conditionalFormatting>
  <conditionalFormatting sqref="B5:C5">
    <cfRule type="colorScale" priority="50">
      <colorScale>
        <cfvo type="min"/>
        <cfvo type="percentile" val="50"/>
        <cfvo type="max"/>
        <color rgb="FF63BE7B"/>
        <color rgb="FFFFEB84"/>
        <color rgb="FFF8696B"/>
      </colorScale>
    </cfRule>
  </conditionalFormatting>
  <conditionalFormatting sqref="B6:C6">
    <cfRule type="colorScale" priority="49">
      <colorScale>
        <cfvo type="min"/>
        <cfvo type="percentile" val="50"/>
        <cfvo type="max"/>
        <color rgb="FF63BE7B"/>
        <color rgb="FFFFEB84"/>
        <color rgb="FFF8696B"/>
      </colorScale>
    </cfRule>
  </conditionalFormatting>
  <conditionalFormatting sqref="B7:C7">
    <cfRule type="colorScale" priority="48">
      <colorScale>
        <cfvo type="min"/>
        <cfvo type="percentile" val="50"/>
        <cfvo type="max"/>
        <color rgb="FF63BE7B"/>
        <color rgb="FFFFEB84"/>
        <color rgb="FFF8696B"/>
      </colorScale>
    </cfRule>
  </conditionalFormatting>
  <conditionalFormatting sqref="B8:C8">
    <cfRule type="colorScale" priority="47">
      <colorScale>
        <cfvo type="min"/>
        <cfvo type="percentile" val="50"/>
        <cfvo type="max"/>
        <color rgb="FF63BE7B"/>
        <color rgb="FFFFEB84"/>
        <color rgb="FFF8696B"/>
      </colorScale>
    </cfRule>
  </conditionalFormatting>
  <conditionalFormatting sqref="B9:C9">
    <cfRule type="colorScale" priority="46">
      <colorScale>
        <cfvo type="min"/>
        <cfvo type="percentile" val="50"/>
        <cfvo type="max"/>
        <color rgb="FF63BE7B"/>
        <color rgb="FFFFEB84"/>
        <color rgb="FFF8696B"/>
      </colorScale>
    </cfRule>
  </conditionalFormatting>
  <conditionalFormatting sqref="B10:C10">
    <cfRule type="colorScale" priority="45">
      <colorScale>
        <cfvo type="min"/>
        <cfvo type="percentile" val="50"/>
        <cfvo type="max"/>
        <color rgb="FF63BE7B"/>
        <color rgb="FFFFEB84"/>
        <color rgb="FFF8696B"/>
      </colorScale>
    </cfRule>
  </conditionalFormatting>
  <conditionalFormatting sqref="B11:C11">
    <cfRule type="colorScale" priority="44">
      <colorScale>
        <cfvo type="min"/>
        <cfvo type="percentile" val="50"/>
        <cfvo type="max"/>
        <color rgb="FF63BE7B"/>
        <color rgb="FFFFEB84"/>
        <color rgb="FFF8696B"/>
      </colorScale>
    </cfRule>
  </conditionalFormatting>
  <conditionalFormatting sqref="B12:C12">
    <cfRule type="colorScale" priority="43">
      <colorScale>
        <cfvo type="min"/>
        <cfvo type="percentile" val="50"/>
        <cfvo type="max"/>
        <color rgb="FF63BE7B"/>
        <color rgb="FFFFEB84"/>
        <color rgb="FFF8696B"/>
      </colorScale>
    </cfRule>
  </conditionalFormatting>
  <conditionalFormatting sqref="B13:C13">
    <cfRule type="colorScale" priority="42">
      <colorScale>
        <cfvo type="min"/>
        <cfvo type="percentile" val="50"/>
        <cfvo type="max"/>
        <color rgb="FF63BE7B"/>
        <color rgb="FFFFEB84"/>
        <color rgb="FFF8696B"/>
      </colorScale>
    </cfRule>
  </conditionalFormatting>
  <conditionalFormatting sqref="B14:C14">
    <cfRule type="colorScale" priority="41">
      <colorScale>
        <cfvo type="min"/>
        <cfvo type="percentile" val="50"/>
        <cfvo type="max"/>
        <color rgb="FF63BE7B"/>
        <color rgb="FFFFEB84"/>
        <color rgb="FFF8696B"/>
      </colorScale>
    </cfRule>
  </conditionalFormatting>
  <conditionalFormatting sqref="B15:C15">
    <cfRule type="colorScale" priority="40">
      <colorScale>
        <cfvo type="min"/>
        <cfvo type="percentile" val="50"/>
        <cfvo type="max"/>
        <color rgb="FF63BE7B"/>
        <color rgb="FFFFEB84"/>
        <color rgb="FFF8696B"/>
      </colorScale>
    </cfRule>
  </conditionalFormatting>
  <conditionalFormatting sqref="B16:C16">
    <cfRule type="colorScale" priority="39">
      <colorScale>
        <cfvo type="min"/>
        <cfvo type="percentile" val="50"/>
        <cfvo type="max"/>
        <color rgb="FF63BE7B"/>
        <color rgb="FFFFEB84"/>
        <color rgb="FFF8696B"/>
      </colorScale>
    </cfRule>
  </conditionalFormatting>
  <conditionalFormatting sqref="B17:C17">
    <cfRule type="colorScale" priority="38">
      <colorScale>
        <cfvo type="min"/>
        <cfvo type="percentile" val="50"/>
        <cfvo type="max"/>
        <color rgb="FF63BE7B"/>
        <color rgb="FFFFEB84"/>
        <color rgb="FFF8696B"/>
      </colorScale>
    </cfRule>
  </conditionalFormatting>
  <conditionalFormatting sqref="B18:C18">
    <cfRule type="colorScale" priority="37">
      <colorScale>
        <cfvo type="min"/>
        <cfvo type="percentile" val="50"/>
        <cfvo type="max"/>
        <color rgb="FF63BE7B"/>
        <color rgb="FFFFEB84"/>
        <color rgb="FFF8696B"/>
      </colorScale>
    </cfRule>
  </conditionalFormatting>
  <conditionalFormatting sqref="D2:E2">
    <cfRule type="colorScale" priority="36">
      <colorScale>
        <cfvo type="min"/>
        <cfvo type="percentile" val="50"/>
        <cfvo type="max"/>
        <color rgb="FF63BE7B"/>
        <color rgb="FFFFEB84"/>
        <color rgb="FFF8696B"/>
      </colorScale>
    </cfRule>
  </conditionalFormatting>
  <conditionalFormatting sqref="D3:E3">
    <cfRule type="colorScale" priority="35">
      <colorScale>
        <cfvo type="min"/>
        <cfvo type="percentile" val="50"/>
        <cfvo type="max"/>
        <color rgb="FF63BE7B"/>
        <color rgb="FFFFEB84"/>
        <color rgb="FFF8696B"/>
      </colorScale>
    </cfRule>
  </conditionalFormatting>
  <conditionalFormatting sqref="D4:E4">
    <cfRule type="colorScale" priority="34">
      <colorScale>
        <cfvo type="min"/>
        <cfvo type="percentile" val="50"/>
        <cfvo type="max"/>
        <color rgb="FF63BE7B"/>
        <color rgb="FFFFEB84"/>
        <color rgb="FFF8696B"/>
      </colorScale>
    </cfRule>
  </conditionalFormatting>
  <conditionalFormatting sqref="D5:E5">
    <cfRule type="colorScale" priority="33">
      <colorScale>
        <cfvo type="min"/>
        <cfvo type="percentile" val="50"/>
        <cfvo type="max"/>
        <color rgb="FF63BE7B"/>
        <color rgb="FFFFEB84"/>
        <color rgb="FFF8696B"/>
      </colorScale>
    </cfRule>
  </conditionalFormatting>
  <conditionalFormatting sqref="D6:E6">
    <cfRule type="colorScale" priority="32">
      <colorScale>
        <cfvo type="min"/>
        <cfvo type="percentile" val="50"/>
        <cfvo type="max"/>
        <color rgb="FF63BE7B"/>
        <color rgb="FFFFEB84"/>
        <color rgb="FFF8696B"/>
      </colorScale>
    </cfRule>
  </conditionalFormatting>
  <conditionalFormatting sqref="D7:E7">
    <cfRule type="colorScale" priority="31">
      <colorScale>
        <cfvo type="min"/>
        <cfvo type="percentile" val="50"/>
        <cfvo type="max"/>
        <color rgb="FF63BE7B"/>
        <color rgb="FFFFEB84"/>
        <color rgb="FFF8696B"/>
      </colorScale>
    </cfRule>
  </conditionalFormatting>
  <conditionalFormatting sqref="D8:E8">
    <cfRule type="colorScale" priority="30">
      <colorScale>
        <cfvo type="min"/>
        <cfvo type="percentile" val="50"/>
        <cfvo type="max"/>
        <color rgb="FF63BE7B"/>
        <color rgb="FFFFEB84"/>
        <color rgb="FFF8696B"/>
      </colorScale>
    </cfRule>
  </conditionalFormatting>
  <conditionalFormatting sqref="D9:E9">
    <cfRule type="colorScale" priority="29">
      <colorScale>
        <cfvo type="min"/>
        <cfvo type="percentile" val="50"/>
        <cfvo type="max"/>
        <color rgb="FF63BE7B"/>
        <color rgb="FFFFEB84"/>
        <color rgb="FFF8696B"/>
      </colorScale>
    </cfRule>
  </conditionalFormatting>
  <conditionalFormatting sqref="D10:E10">
    <cfRule type="colorScale" priority="28">
      <colorScale>
        <cfvo type="min"/>
        <cfvo type="percentile" val="50"/>
        <cfvo type="max"/>
        <color rgb="FF63BE7B"/>
        <color rgb="FFFFEB84"/>
        <color rgb="FFF8696B"/>
      </colorScale>
    </cfRule>
  </conditionalFormatting>
  <conditionalFormatting sqref="D11:E11">
    <cfRule type="colorScale" priority="27">
      <colorScale>
        <cfvo type="min"/>
        <cfvo type="percentile" val="50"/>
        <cfvo type="max"/>
        <color rgb="FF63BE7B"/>
        <color rgb="FFFFEB84"/>
        <color rgb="FFF8696B"/>
      </colorScale>
    </cfRule>
  </conditionalFormatting>
  <conditionalFormatting sqref="D12:E12">
    <cfRule type="colorScale" priority="26">
      <colorScale>
        <cfvo type="min"/>
        <cfvo type="percentile" val="50"/>
        <cfvo type="max"/>
        <color rgb="FF63BE7B"/>
        <color rgb="FFFFEB84"/>
        <color rgb="FFF8696B"/>
      </colorScale>
    </cfRule>
  </conditionalFormatting>
  <conditionalFormatting sqref="D13:E13">
    <cfRule type="colorScale" priority="25">
      <colorScale>
        <cfvo type="min"/>
        <cfvo type="percentile" val="50"/>
        <cfvo type="max"/>
        <color rgb="FF63BE7B"/>
        <color rgb="FFFFEB84"/>
        <color rgb="FFF8696B"/>
      </colorScale>
    </cfRule>
  </conditionalFormatting>
  <conditionalFormatting sqref="D14:E14">
    <cfRule type="colorScale" priority="24">
      <colorScale>
        <cfvo type="min"/>
        <cfvo type="percentile" val="50"/>
        <cfvo type="max"/>
        <color rgb="FF63BE7B"/>
        <color rgb="FFFFEB84"/>
        <color rgb="FFF8696B"/>
      </colorScale>
    </cfRule>
  </conditionalFormatting>
  <conditionalFormatting sqref="D15:E15">
    <cfRule type="colorScale" priority="23">
      <colorScale>
        <cfvo type="min"/>
        <cfvo type="percentile" val="50"/>
        <cfvo type="max"/>
        <color rgb="FF63BE7B"/>
        <color rgb="FFFFEB84"/>
        <color rgb="FFF8696B"/>
      </colorScale>
    </cfRule>
  </conditionalFormatting>
  <conditionalFormatting sqref="D16:E16">
    <cfRule type="colorScale" priority="22">
      <colorScale>
        <cfvo type="min"/>
        <cfvo type="percentile" val="50"/>
        <cfvo type="max"/>
        <color rgb="FF63BE7B"/>
        <color rgb="FFFFEB84"/>
        <color rgb="FFF8696B"/>
      </colorScale>
    </cfRule>
  </conditionalFormatting>
  <conditionalFormatting sqref="D17:E17">
    <cfRule type="colorScale" priority="21">
      <colorScale>
        <cfvo type="min"/>
        <cfvo type="percentile" val="50"/>
        <cfvo type="max"/>
        <color rgb="FF63BE7B"/>
        <color rgb="FFFFEB84"/>
        <color rgb="FFF8696B"/>
      </colorScale>
    </cfRule>
  </conditionalFormatting>
  <conditionalFormatting sqref="D18:E18">
    <cfRule type="colorScale" priority="20">
      <colorScale>
        <cfvo type="min"/>
        <cfvo type="percentile" val="50"/>
        <cfvo type="max"/>
        <color rgb="FF63BE7B"/>
        <color rgb="FFFFEB84"/>
        <color rgb="FFF8696B"/>
      </colorScale>
    </cfRule>
  </conditionalFormatting>
  <conditionalFormatting sqref="F2:G2">
    <cfRule type="colorScale" priority="19">
      <colorScale>
        <cfvo type="min"/>
        <cfvo type="percentile" val="50"/>
        <cfvo type="max"/>
        <color rgb="FF63BE7B"/>
        <color rgb="FFFFEB84"/>
        <color rgb="FFF8696B"/>
      </colorScale>
    </cfRule>
  </conditionalFormatting>
  <conditionalFormatting sqref="F3:G3">
    <cfRule type="colorScale" priority="18">
      <colorScale>
        <cfvo type="min"/>
        <cfvo type="percentile" val="50"/>
        <cfvo type="max"/>
        <color rgb="FF63BE7B"/>
        <color rgb="FFFFEB84"/>
        <color rgb="FFF8696B"/>
      </colorScale>
    </cfRule>
  </conditionalFormatting>
  <conditionalFormatting sqref="F4:G4">
    <cfRule type="colorScale" priority="17">
      <colorScale>
        <cfvo type="min"/>
        <cfvo type="percentile" val="50"/>
        <cfvo type="max"/>
        <color rgb="FF63BE7B"/>
        <color rgb="FFFFEB84"/>
        <color rgb="FFF8696B"/>
      </colorScale>
    </cfRule>
  </conditionalFormatting>
  <conditionalFormatting sqref="F5:G5">
    <cfRule type="colorScale" priority="16">
      <colorScale>
        <cfvo type="min"/>
        <cfvo type="percentile" val="50"/>
        <cfvo type="max"/>
        <color rgb="FF63BE7B"/>
        <color rgb="FFFFEB84"/>
        <color rgb="FFF8696B"/>
      </colorScale>
    </cfRule>
  </conditionalFormatting>
  <conditionalFormatting sqref="F6:G6">
    <cfRule type="colorScale" priority="15">
      <colorScale>
        <cfvo type="min"/>
        <cfvo type="percentile" val="50"/>
        <cfvo type="max"/>
        <color rgb="FF63BE7B"/>
        <color rgb="FFFFEB84"/>
        <color rgb="FFF8696B"/>
      </colorScale>
    </cfRule>
  </conditionalFormatting>
  <conditionalFormatting sqref="F7:G7">
    <cfRule type="colorScale" priority="14">
      <colorScale>
        <cfvo type="min"/>
        <cfvo type="percentile" val="50"/>
        <cfvo type="max"/>
        <color rgb="FF63BE7B"/>
        <color rgb="FFFFEB84"/>
        <color rgb="FFF8696B"/>
      </colorScale>
    </cfRule>
  </conditionalFormatting>
  <conditionalFormatting sqref="F8:G8">
    <cfRule type="colorScale" priority="13">
      <colorScale>
        <cfvo type="min"/>
        <cfvo type="percentile" val="50"/>
        <cfvo type="max"/>
        <color rgb="FF63BE7B"/>
        <color rgb="FFFFEB84"/>
        <color rgb="FFF8696B"/>
      </colorScale>
    </cfRule>
  </conditionalFormatting>
  <conditionalFormatting sqref="F9:G9">
    <cfRule type="colorScale" priority="12">
      <colorScale>
        <cfvo type="min"/>
        <cfvo type="percentile" val="50"/>
        <cfvo type="max"/>
        <color rgb="FF63BE7B"/>
        <color rgb="FFFFEB84"/>
        <color rgb="FFF8696B"/>
      </colorScale>
    </cfRule>
  </conditionalFormatting>
  <conditionalFormatting sqref="F10:G10">
    <cfRule type="colorScale" priority="11">
      <colorScale>
        <cfvo type="min"/>
        <cfvo type="percentile" val="50"/>
        <cfvo type="max"/>
        <color rgb="FF63BE7B"/>
        <color rgb="FFFFEB84"/>
        <color rgb="FFF8696B"/>
      </colorScale>
    </cfRule>
  </conditionalFormatting>
  <conditionalFormatting sqref="F11:G11">
    <cfRule type="colorScale" priority="10">
      <colorScale>
        <cfvo type="min"/>
        <cfvo type="percentile" val="50"/>
        <cfvo type="max"/>
        <color rgb="FF63BE7B"/>
        <color rgb="FFFFEB84"/>
        <color rgb="FFF8696B"/>
      </colorScale>
    </cfRule>
  </conditionalFormatting>
  <conditionalFormatting sqref="F12:G12">
    <cfRule type="colorScale" priority="9">
      <colorScale>
        <cfvo type="min"/>
        <cfvo type="percentile" val="50"/>
        <cfvo type="max"/>
        <color rgb="FF63BE7B"/>
        <color rgb="FFFFEB84"/>
        <color rgb="FFF8696B"/>
      </colorScale>
    </cfRule>
  </conditionalFormatting>
  <conditionalFormatting sqref="F13:G13">
    <cfRule type="colorScale" priority="8">
      <colorScale>
        <cfvo type="min"/>
        <cfvo type="percentile" val="50"/>
        <cfvo type="max"/>
        <color rgb="FF63BE7B"/>
        <color rgb="FFFFEB84"/>
        <color rgb="FFF8696B"/>
      </colorScale>
    </cfRule>
  </conditionalFormatting>
  <conditionalFormatting sqref="F14:G14">
    <cfRule type="colorScale" priority="7">
      <colorScale>
        <cfvo type="min"/>
        <cfvo type="percentile" val="50"/>
        <cfvo type="max"/>
        <color rgb="FF63BE7B"/>
        <color rgb="FFFFEB84"/>
        <color rgb="FFF8696B"/>
      </colorScale>
    </cfRule>
  </conditionalFormatting>
  <conditionalFormatting sqref="F15:G15">
    <cfRule type="colorScale" priority="6">
      <colorScale>
        <cfvo type="min"/>
        <cfvo type="percentile" val="50"/>
        <cfvo type="max"/>
        <color rgb="FF63BE7B"/>
        <color rgb="FFFFEB84"/>
        <color rgb="FFF8696B"/>
      </colorScale>
    </cfRule>
  </conditionalFormatting>
  <conditionalFormatting sqref="F16:G16">
    <cfRule type="colorScale" priority="5">
      <colorScale>
        <cfvo type="min"/>
        <cfvo type="percentile" val="50"/>
        <cfvo type="max"/>
        <color rgb="FF63BE7B"/>
        <color rgb="FFFFEB84"/>
        <color rgb="FFF8696B"/>
      </colorScale>
    </cfRule>
  </conditionalFormatting>
  <conditionalFormatting sqref="F17:G17">
    <cfRule type="colorScale" priority="4">
      <colorScale>
        <cfvo type="min"/>
        <cfvo type="percentile" val="50"/>
        <cfvo type="max"/>
        <color rgb="FF63BE7B"/>
        <color rgb="FFFFEB84"/>
        <color rgb="FFF8696B"/>
      </colorScale>
    </cfRule>
  </conditionalFormatting>
  <conditionalFormatting sqref="F18:G18">
    <cfRule type="colorScale" priority="3">
      <colorScale>
        <cfvo type="min"/>
        <cfvo type="percentile" val="50"/>
        <cfvo type="max"/>
        <color rgb="FF63BE7B"/>
        <color rgb="FFFFEB84"/>
        <color rgb="FFF8696B"/>
      </colorScale>
    </cfRule>
  </conditionalFormatting>
  <conditionalFormatting sqref="K2:P18">
    <cfRule type="cellIs" dxfId="15" priority="2" operator="notBetween">
      <formula>0.1</formula>
      <formula>-0.1</formula>
    </cfRule>
  </conditionalFormatting>
  <conditionalFormatting sqref="S2:U18">
    <cfRule type="cellIs" dxfId="14" priority="1" operator="notEqual">
      <formula>TRUE</formula>
    </cfRule>
  </conditionalFormatting>
  <dataValidations count="1">
    <dataValidation type="list" allowBlank="1" showInputMessage="1" showErrorMessage="1" sqref="A23" xr:uid="{C0EDC46D-88C2-41A1-92C8-E26B86552FDD}">
      <formula1>$A$2:$A$18</formula1>
    </dataValidation>
  </dataValidations>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E90DE513D20B104E86B755DFD56459F3" ma:contentTypeVersion="4" ma:contentTypeDescription="Ein neues Dokument erstellen." ma:contentTypeScope="" ma:versionID="f80f6f6a678563ff358f5165481008e3">
  <xsd:schema xmlns:xsd="http://www.w3.org/2001/XMLSchema" xmlns:xs="http://www.w3.org/2001/XMLSchema" xmlns:p="http://schemas.microsoft.com/office/2006/metadata/properties" xmlns:ns2="917ec6ff-8b79-431f-b534-228169bfdee9" xmlns:ns3="5537179b-94e4-4598-b387-a1f0a0247080" targetNamespace="http://schemas.microsoft.com/office/2006/metadata/properties" ma:root="true" ma:fieldsID="9f7721e6163fbe20ec5664957a15853c" ns2:_="" ns3:_="">
    <xsd:import namespace="917ec6ff-8b79-431f-b534-228169bfdee9"/>
    <xsd:import namespace="5537179b-94e4-4598-b387-a1f0a024708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7ec6ff-8b79-431f-b534-228169bfde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537179b-94e4-4598-b387-a1f0a0247080"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092E1C-358E-4D9B-A1E5-4FFD0176BC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7ec6ff-8b79-431f-b534-228169bfdee9"/>
    <ds:schemaRef ds:uri="5537179b-94e4-4598-b387-a1f0a02470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4DB0A11-AF63-4DC2-84C5-875CDE88196B}">
  <ds:schemaRefs>
    <ds:schemaRef ds:uri="917ec6ff-8b79-431f-b534-228169bfdee9"/>
    <ds:schemaRef ds:uri="http://purl.org/dc/elements/1.1/"/>
    <ds:schemaRef ds:uri="http://purl.org/dc/terms/"/>
    <ds:schemaRef ds:uri="http://schemas.microsoft.com/office/2006/documentManagement/types"/>
    <ds:schemaRef ds:uri="5537179b-94e4-4598-b387-a1f0a0247080"/>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019FC6A9-FCDC-4AB0-9F5B-13B0482E168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16</vt:i4>
      </vt:variant>
      <vt:variant>
        <vt:lpstr>Benannte Bereiche</vt:lpstr>
      </vt:variant>
      <vt:variant>
        <vt:i4>4</vt:i4>
      </vt:variant>
    </vt:vector>
  </HeadingPairs>
  <TitlesOfParts>
    <vt:vector size="20" baseType="lpstr">
      <vt:lpstr>Übersicht</vt:lpstr>
      <vt:lpstr>Sachbilanz Stoßfänger</vt:lpstr>
      <vt:lpstr>Sachbilanz Autotür</vt:lpstr>
      <vt:lpstr>Sachbilanz Seitenteil </vt:lpstr>
      <vt:lpstr>Allokationen</vt:lpstr>
      <vt:lpstr>Daten Verbrauchsmaterialien</vt:lpstr>
      <vt:lpstr>Ergebnisse Basisszenario</vt:lpstr>
      <vt:lpstr>Ergebnisse PV Anlage</vt:lpstr>
      <vt:lpstr>Ergebnisse BHKW</vt:lpstr>
      <vt:lpstr>Ergebnisse Recycling Stoßfänger</vt:lpstr>
      <vt:lpstr>Ergebnisse leichtes Neuteil</vt:lpstr>
      <vt:lpstr>Ergebnisse Aluminium Tür</vt:lpstr>
      <vt:lpstr>Ergebnisse Recycletes Neuteil</vt:lpstr>
      <vt:lpstr>Ergebnisse lange Transportwege</vt:lpstr>
      <vt:lpstr>Ergebnisse Lackfarbe</vt:lpstr>
      <vt:lpstr>Ergebnisse Ideales Szenario</vt:lpstr>
      <vt:lpstr>'Sachbilanz Autotür'!Datenqualität</vt:lpstr>
      <vt:lpstr>Datenqualität</vt:lpstr>
      <vt:lpstr>'Sachbilanz Autotür'!zeitlich</vt:lpstr>
      <vt:lpstr>zeitlich</vt:lpstr>
    </vt:vector>
  </TitlesOfParts>
  <Manager/>
  <Company>Microsoft Corporation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Corporation</dc:creator>
  <cp:keywords/>
  <dc:description/>
  <cp:lastModifiedBy>Bertling, Jürgen</cp:lastModifiedBy>
  <cp:revision/>
  <dcterms:created xsi:type="dcterms:W3CDTF">1996-10-17T05:27:31Z</dcterms:created>
  <dcterms:modified xsi:type="dcterms:W3CDTF">2023-05-16T13:38:22Z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NeedsREVERT">
    <vt:lpwstr>FALSE</vt:lpwstr>
  </property>
  <property fmtid="{D5CDD505-2E9C-101B-9397-08002B2CF9AE}" pid="4" name="Jet Reports Drill Button Active">
    <vt:bool>false</vt:bool>
  </property>
  <property fmtid="{D5CDD505-2E9C-101B-9397-08002B2CF9AE}" pid="5" name="ContentTypeId">
    <vt:lpwstr>0x010100E90DE513D20B104E86B755DFD56459F3</vt:lpwstr>
  </property>
</Properties>
</file>