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filterPrivacy="1"/>
  <xr:revisionPtr revIDLastSave="0" documentId="13_ncr:1_{D9BF156E-5494-4824-8384-C8202F032254}" xr6:coauthVersionLast="36" xr6:coauthVersionMax="36" xr10:uidLastSave="{00000000-0000-0000-0000-000000000000}"/>
  <bookViews>
    <workbookView xWindow="0" yWindow="0" windowWidth="23040" windowHeight="8196" firstSheet="3" activeTab="7" xr2:uid="{00000000-000D-0000-FFFF-FFFF00000000}"/>
  </bookViews>
  <sheets>
    <sheet name="Berechnungen Fütterungsmenge" sheetId="1" r:id="rId1"/>
    <sheet name="25 mg" sheetId="2" r:id="rId2"/>
    <sheet name="50 mg" sheetId="7" r:id="rId3"/>
    <sheet name="100 mg" sheetId="8" r:id="rId4"/>
    <sheet name="150 mg" sheetId="9" r:id="rId5"/>
    <sheet name="200 mg" sheetId="10" r:id="rId6"/>
    <sheet name="Wachstumskurven" sheetId="11" r:id="rId7"/>
    <sheet name="Zusammenfassung" sheetId="12" r:id="rId8"/>
    <sheet name="OneWay ANOVA" sheetId="13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3" l="1"/>
  <c r="K19" i="13"/>
  <c r="J19" i="13"/>
  <c r="I19" i="13"/>
  <c r="H19" i="13"/>
  <c r="G19" i="13"/>
  <c r="F19" i="13"/>
  <c r="E19" i="13"/>
  <c r="D19" i="13"/>
  <c r="C19" i="13"/>
  <c r="L18" i="13"/>
  <c r="K18" i="13"/>
  <c r="J18" i="13"/>
  <c r="I18" i="13"/>
  <c r="H18" i="13"/>
  <c r="G18" i="13"/>
  <c r="F18" i="13"/>
  <c r="E18" i="13"/>
  <c r="D18" i="13"/>
  <c r="C18" i="13"/>
  <c r="L17" i="13"/>
  <c r="K17" i="13"/>
  <c r="J17" i="13"/>
  <c r="I17" i="13"/>
  <c r="H17" i="13"/>
  <c r="G17" i="13"/>
  <c r="F17" i="13"/>
  <c r="E17" i="13"/>
  <c r="D17" i="13"/>
  <c r="C17" i="13"/>
  <c r="L16" i="13"/>
  <c r="K16" i="13"/>
  <c r="J16" i="13"/>
  <c r="I16" i="13"/>
  <c r="H16" i="13"/>
  <c r="G16" i="13"/>
  <c r="F16" i="13"/>
  <c r="E16" i="13"/>
  <c r="D16" i="13"/>
  <c r="C16" i="13"/>
  <c r="L15" i="13"/>
  <c r="K15" i="13"/>
  <c r="J15" i="13"/>
  <c r="I15" i="13"/>
  <c r="H15" i="13"/>
  <c r="G15" i="13"/>
  <c r="F15" i="13"/>
  <c r="E15" i="13"/>
  <c r="D15" i="13"/>
  <c r="C15" i="13"/>
  <c r="L14" i="13"/>
  <c r="K14" i="13"/>
  <c r="J14" i="13"/>
  <c r="I14" i="13"/>
  <c r="H14" i="13"/>
  <c r="G14" i="13"/>
  <c r="F14" i="13"/>
  <c r="E14" i="13"/>
  <c r="D14" i="13"/>
  <c r="C14" i="13"/>
  <c r="L13" i="13"/>
  <c r="K13" i="13"/>
  <c r="J13" i="13"/>
  <c r="I13" i="13"/>
  <c r="H13" i="13"/>
  <c r="G13" i="13"/>
  <c r="F13" i="13"/>
  <c r="E13" i="13"/>
  <c r="D13" i="13"/>
  <c r="C13" i="13"/>
  <c r="L12" i="13"/>
  <c r="K12" i="13"/>
  <c r="J12" i="13"/>
  <c r="I12" i="13"/>
  <c r="H12" i="13"/>
  <c r="G12" i="13"/>
  <c r="F12" i="13"/>
  <c r="E12" i="13"/>
  <c r="D12" i="13"/>
  <c r="C12" i="13"/>
  <c r="L11" i="13"/>
  <c r="K11" i="13"/>
  <c r="J11" i="13"/>
  <c r="I11" i="13"/>
  <c r="H11" i="13"/>
  <c r="G11" i="13"/>
  <c r="F11" i="13"/>
  <c r="E11" i="13"/>
  <c r="D11" i="13"/>
  <c r="C11" i="13"/>
  <c r="L10" i="13"/>
  <c r="K10" i="13"/>
  <c r="J10" i="13"/>
  <c r="I10" i="13"/>
  <c r="H10" i="13"/>
  <c r="G10" i="13"/>
  <c r="F10" i="13"/>
  <c r="E10" i="13"/>
  <c r="D10" i="13"/>
  <c r="C10" i="13"/>
  <c r="L9" i="13"/>
  <c r="K9" i="13"/>
  <c r="J9" i="13"/>
  <c r="I9" i="13"/>
  <c r="H9" i="13"/>
  <c r="G9" i="13"/>
  <c r="F9" i="13"/>
  <c r="E9" i="13"/>
  <c r="D9" i="13"/>
  <c r="C9" i="13"/>
  <c r="L8" i="13"/>
  <c r="K8" i="13"/>
  <c r="J8" i="13"/>
  <c r="I8" i="13"/>
  <c r="H8" i="13"/>
  <c r="G8" i="13"/>
  <c r="F8" i="13"/>
  <c r="E8" i="13"/>
  <c r="D8" i="13"/>
  <c r="C8" i="13"/>
  <c r="L7" i="13"/>
  <c r="K7" i="13"/>
  <c r="J7" i="13"/>
  <c r="I7" i="13"/>
  <c r="H7" i="13"/>
  <c r="G7" i="13"/>
  <c r="F7" i="13"/>
  <c r="E7" i="13"/>
  <c r="D7" i="13"/>
  <c r="C7" i="13"/>
  <c r="L6" i="13"/>
  <c r="K6" i="13"/>
  <c r="J6" i="13"/>
  <c r="I6" i="13"/>
  <c r="H6" i="13"/>
  <c r="G6" i="13"/>
  <c r="F6" i="13"/>
  <c r="E6" i="13"/>
  <c r="D6" i="13"/>
  <c r="C6" i="13"/>
  <c r="L5" i="13"/>
  <c r="K5" i="13"/>
  <c r="J5" i="13"/>
  <c r="I5" i="13"/>
  <c r="H5" i="13"/>
  <c r="G5" i="13"/>
  <c r="F5" i="13"/>
  <c r="E5" i="13"/>
  <c r="D5" i="13"/>
  <c r="C5" i="13"/>
  <c r="D73" i="12"/>
  <c r="C73" i="12"/>
  <c r="D72" i="12"/>
  <c r="C72" i="12"/>
  <c r="D71" i="12"/>
  <c r="C71" i="12"/>
  <c r="D70" i="12"/>
  <c r="C70" i="12"/>
  <c r="D69" i="12"/>
  <c r="C69" i="12"/>
  <c r="D66" i="12"/>
  <c r="C66" i="12"/>
  <c r="D65" i="12"/>
  <c r="C65" i="12"/>
  <c r="D64" i="12"/>
  <c r="C64" i="12"/>
  <c r="D63" i="12"/>
  <c r="C63" i="12"/>
  <c r="D62" i="12"/>
  <c r="C62" i="12"/>
  <c r="D59" i="12"/>
  <c r="C59" i="12"/>
  <c r="D58" i="12"/>
  <c r="C58" i="12"/>
  <c r="D57" i="12"/>
  <c r="C57" i="12"/>
  <c r="D56" i="12"/>
  <c r="C56" i="12"/>
  <c r="D55" i="12"/>
  <c r="C55" i="12"/>
  <c r="C52" i="12"/>
  <c r="C51" i="12"/>
  <c r="C50" i="12"/>
  <c r="C49" i="12"/>
  <c r="C48" i="12"/>
  <c r="D45" i="12"/>
  <c r="C45" i="12"/>
  <c r="D44" i="12"/>
  <c r="C44" i="12"/>
  <c r="D43" i="12"/>
  <c r="C43" i="12"/>
  <c r="D42" i="12"/>
  <c r="C42" i="12"/>
  <c r="D41" i="12"/>
  <c r="C41" i="12"/>
  <c r="D38" i="12"/>
  <c r="C38" i="12"/>
  <c r="D37" i="12"/>
  <c r="C37" i="12"/>
  <c r="D36" i="12"/>
  <c r="C36" i="12"/>
  <c r="D35" i="12"/>
  <c r="C35" i="12"/>
  <c r="D34" i="12"/>
  <c r="C34" i="12"/>
  <c r="D31" i="12"/>
  <c r="C31" i="12"/>
  <c r="D30" i="12"/>
  <c r="C30" i="12"/>
  <c r="D29" i="12"/>
  <c r="C29" i="12"/>
  <c r="D28" i="12"/>
  <c r="C28" i="12"/>
  <c r="D27" i="12"/>
  <c r="C27" i="12"/>
  <c r="D24" i="12"/>
  <c r="C24" i="12"/>
  <c r="D23" i="12"/>
  <c r="C23" i="12"/>
  <c r="D22" i="12"/>
  <c r="C22" i="12"/>
  <c r="D21" i="12"/>
  <c r="C21" i="12"/>
  <c r="D20" i="12"/>
  <c r="C20" i="12"/>
  <c r="D17" i="12"/>
  <c r="C17" i="12"/>
  <c r="D16" i="12"/>
  <c r="C16" i="12"/>
  <c r="D15" i="12"/>
  <c r="C15" i="12"/>
  <c r="D14" i="12"/>
  <c r="C14" i="12"/>
  <c r="D13" i="12"/>
  <c r="C13" i="12"/>
  <c r="D9" i="12"/>
  <c r="C9" i="12"/>
  <c r="D8" i="12"/>
  <c r="C8" i="12"/>
  <c r="D7" i="12"/>
  <c r="C7" i="12"/>
  <c r="D6" i="12"/>
  <c r="C6" i="12"/>
  <c r="D5" i="12"/>
  <c r="C5" i="12"/>
  <c r="D52" i="12"/>
  <c r="D51" i="12"/>
  <c r="D50" i="12"/>
  <c r="D49" i="12"/>
  <c r="D48" i="12"/>
  <c r="AH39" i="10"/>
  <c r="AH38" i="10"/>
  <c r="AH37" i="10"/>
  <c r="AJ37" i="10" s="1"/>
  <c r="AH34" i="10"/>
  <c r="AH44" i="10" s="1"/>
  <c r="AH33" i="10"/>
  <c r="AH43" i="10" s="1"/>
  <c r="AH32" i="10"/>
  <c r="AH42" i="10" s="1"/>
  <c r="AH29" i="10"/>
  <c r="AH49" i="10" s="1"/>
  <c r="AH28" i="10"/>
  <c r="AH48" i="10" s="1"/>
  <c r="AJ27" i="10"/>
  <c r="AI27" i="10"/>
  <c r="AH27" i="10"/>
  <c r="AH47" i="10" s="1"/>
  <c r="AH24" i="10"/>
  <c r="AH23" i="10"/>
  <c r="AJ22" i="10"/>
  <c r="AH22" i="10"/>
  <c r="AI22" i="10" s="1"/>
  <c r="AH18" i="10"/>
  <c r="AH14" i="10"/>
  <c r="AH19" i="10" s="1"/>
  <c r="AH13" i="10"/>
  <c r="AH12" i="10"/>
  <c r="AH17" i="10" s="1"/>
  <c r="AH9" i="10"/>
  <c r="AH8" i="10"/>
  <c r="AJ7" i="10"/>
  <c r="AI7" i="10"/>
  <c r="AH7" i="10"/>
  <c r="AH4" i="10"/>
  <c r="AH3" i="10"/>
  <c r="AJ2" i="10"/>
  <c r="AH2" i="10"/>
  <c r="AI2" i="10" s="1"/>
  <c r="AH43" i="9"/>
  <c r="AH39" i="9"/>
  <c r="AH38" i="9"/>
  <c r="AH37" i="9"/>
  <c r="AJ37" i="9" s="1"/>
  <c r="AH34" i="9"/>
  <c r="AH44" i="9" s="1"/>
  <c r="AH33" i="9"/>
  <c r="AH32" i="9"/>
  <c r="AH42" i="9" s="1"/>
  <c r="AH29" i="9"/>
  <c r="AH49" i="9" s="1"/>
  <c r="AH28" i="9"/>
  <c r="AH48" i="9" s="1"/>
  <c r="AJ27" i="9"/>
  <c r="AI27" i="9"/>
  <c r="AH27" i="9"/>
  <c r="AH47" i="9" s="1"/>
  <c r="AH24" i="9"/>
  <c r="AH23" i="9"/>
  <c r="AJ22" i="9"/>
  <c r="AH22" i="9"/>
  <c r="AI22" i="9" s="1"/>
  <c r="AH18" i="9"/>
  <c r="AH14" i="9"/>
  <c r="AH19" i="9" s="1"/>
  <c r="AH13" i="9"/>
  <c r="AH12" i="9"/>
  <c r="AH17" i="9" s="1"/>
  <c r="AH9" i="9"/>
  <c r="AH8" i="9"/>
  <c r="AJ7" i="9"/>
  <c r="AI7" i="9"/>
  <c r="AH7" i="9"/>
  <c r="AH4" i="9"/>
  <c r="AH3" i="9"/>
  <c r="AJ2" i="9"/>
  <c r="AH2" i="9"/>
  <c r="AI2" i="9" s="1"/>
  <c r="AH44" i="8"/>
  <c r="AH39" i="8"/>
  <c r="AH38" i="8"/>
  <c r="AI37" i="8"/>
  <c r="AH37" i="8"/>
  <c r="AJ37" i="8" s="1"/>
  <c r="AH34" i="8"/>
  <c r="AI32" i="8" s="1"/>
  <c r="AH33" i="8"/>
  <c r="AH43" i="8" s="1"/>
  <c r="AH32" i="8"/>
  <c r="AH42" i="8" s="1"/>
  <c r="AH29" i="8"/>
  <c r="AH49" i="8" s="1"/>
  <c r="AH28" i="8"/>
  <c r="AH48" i="8" s="1"/>
  <c r="AH27" i="8"/>
  <c r="AH47" i="8" s="1"/>
  <c r="AH24" i="8"/>
  <c r="AH23" i="8"/>
  <c r="AH22" i="8"/>
  <c r="AJ22" i="8" s="1"/>
  <c r="AH18" i="8"/>
  <c r="AH14" i="8"/>
  <c r="AH19" i="8" s="1"/>
  <c r="AH13" i="8"/>
  <c r="AH12" i="8"/>
  <c r="AH17" i="8" s="1"/>
  <c r="AH9" i="8"/>
  <c r="AH8" i="8"/>
  <c r="AH7" i="8"/>
  <c r="AJ7" i="8" s="1"/>
  <c r="AH4" i="8"/>
  <c r="AH3" i="8"/>
  <c r="AI2" i="8" s="1"/>
  <c r="AJ2" i="8"/>
  <c r="AH2" i="8"/>
  <c r="AH47" i="7"/>
  <c r="AH43" i="7"/>
  <c r="AH39" i="7"/>
  <c r="AH38" i="7"/>
  <c r="AJ37" i="7"/>
  <c r="AI37" i="7"/>
  <c r="AH37" i="7"/>
  <c r="AH34" i="7"/>
  <c r="AH44" i="7" s="1"/>
  <c r="AH33" i="7"/>
  <c r="AH32" i="7"/>
  <c r="AH42" i="7" s="1"/>
  <c r="AH29" i="7"/>
  <c r="AH49" i="7" s="1"/>
  <c r="AH28" i="7"/>
  <c r="AH48" i="7" s="1"/>
  <c r="AI27" i="7"/>
  <c r="AH27" i="7"/>
  <c r="AH24" i="7"/>
  <c r="AH23" i="7"/>
  <c r="AH22" i="7"/>
  <c r="AI22" i="7" s="1"/>
  <c r="AH19" i="7"/>
  <c r="AH18" i="7"/>
  <c r="AH14" i="7"/>
  <c r="AH13" i="7"/>
  <c r="AH12" i="7"/>
  <c r="AH17" i="7" s="1"/>
  <c r="AH9" i="7"/>
  <c r="AH8" i="7"/>
  <c r="AH7" i="7"/>
  <c r="AJ7" i="7" s="1"/>
  <c r="AH4" i="7"/>
  <c r="AH3" i="7"/>
  <c r="AI2" i="7" s="1"/>
  <c r="AJ2" i="7"/>
  <c r="AH2" i="7"/>
  <c r="AH47" i="2"/>
  <c r="AH43" i="2"/>
  <c r="AH39" i="2"/>
  <c r="AH38" i="2"/>
  <c r="AI37" i="2" s="1"/>
  <c r="AJ37" i="2"/>
  <c r="AH37" i="2"/>
  <c r="AH34" i="2"/>
  <c r="AI32" i="2" s="1"/>
  <c r="AH33" i="2"/>
  <c r="AJ32" i="2"/>
  <c r="AH32" i="2"/>
  <c r="AH42" i="2" s="1"/>
  <c r="AH29" i="2"/>
  <c r="AH49" i="2" s="1"/>
  <c r="AH28" i="2"/>
  <c r="AH48" i="2" s="1"/>
  <c r="AI27" i="2"/>
  <c r="AH27" i="2"/>
  <c r="AH24" i="2"/>
  <c r="AH23" i="2"/>
  <c r="AJ22" i="2" s="1"/>
  <c r="AH22" i="2"/>
  <c r="AH19" i="2"/>
  <c r="AH14" i="2"/>
  <c r="AH13" i="2"/>
  <c r="AH18" i="2" s="1"/>
  <c r="AH12" i="2"/>
  <c r="AH17" i="2" s="1"/>
  <c r="AH9" i="2"/>
  <c r="AH8" i="2"/>
  <c r="AH7" i="2"/>
  <c r="AJ7" i="2" s="1"/>
  <c r="AH4" i="2"/>
  <c r="AH3" i="2"/>
  <c r="AH2" i="2"/>
  <c r="AI2" i="2" s="1"/>
  <c r="AJ17" i="10" l="1"/>
  <c r="AI17" i="10"/>
  <c r="AJ47" i="10"/>
  <c r="AI47" i="10"/>
  <c r="AI42" i="10"/>
  <c r="AJ42" i="10"/>
  <c r="AI12" i="10"/>
  <c r="AJ12" i="10"/>
  <c r="AI37" i="10"/>
  <c r="AI32" i="10"/>
  <c r="AJ32" i="10"/>
  <c r="AJ47" i="9"/>
  <c r="AI47" i="9"/>
  <c r="AI42" i="9"/>
  <c r="AJ42" i="9"/>
  <c r="AJ17" i="9"/>
  <c r="AI17" i="9"/>
  <c r="AJ12" i="9"/>
  <c r="AI37" i="9"/>
  <c r="AI12" i="9"/>
  <c r="AI32" i="9"/>
  <c r="AJ32" i="9"/>
  <c r="AJ47" i="8"/>
  <c r="AI47" i="8"/>
  <c r="AI42" i="8"/>
  <c r="AJ42" i="8"/>
  <c r="AJ17" i="8"/>
  <c r="AI17" i="8"/>
  <c r="AI27" i="8"/>
  <c r="AI12" i="8"/>
  <c r="AJ27" i="8"/>
  <c r="AJ12" i="8"/>
  <c r="AI22" i="8"/>
  <c r="AI7" i="8"/>
  <c r="AJ32" i="8"/>
  <c r="AJ17" i="7"/>
  <c r="AI17" i="7"/>
  <c r="AI42" i="7"/>
  <c r="AJ42" i="7"/>
  <c r="AJ47" i="7"/>
  <c r="AI12" i="7"/>
  <c r="AJ27" i="7"/>
  <c r="AJ12" i="7"/>
  <c r="AI7" i="7"/>
  <c r="AJ22" i="7"/>
  <c r="AI47" i="7"/>
  <c r="AI32" i="7"/>
  <c r="AJ32" i="7"/>
  <c r="AJ47" i="2"/>
  <c r="AI47" i="2"/>
  <c r="AJ17" i="2"/>
  <c r="AI17" i="2"/>
  <c r="AI42" i="2"/>
  <c r="AJ42" i="2"/>
  <c r="AJ27" i="2"/>
  <c r="AJ2" i="2"/>
  <c r="AI12" i="2"/>
  <c r="AJ12" i="2"/>
  <c r="AH44" i="2"/>
  <c r="AI22" i="2"/>
  <c r="AI7" i="2"/>
  <c r="G20" i="1"/>
  <c r="F20" i="1"/>
  <c r="D20" i="1"/>
  <c r="E20" i="1"/>
  <c r="C20" i="1"/>
  <c r="M26" i="13" l="1"/>
  <c r="E71" i="11" l="1"/>
  <c r="D14" i="11"/>
  <c r="AC4" i="2"/>
  <c r="AC3" i="2"/>
  <c r="AE2" i="2"/>
  <c r="AC2" i="2"/>
  <c r="AD2" i="2" s="1"/>
  <c r="AC4" i="7"/>
  <c r="AC3" i="7"/>
  <c r="AC2" i="7"/>
  <c r="AC4" i="8"/>
  <c r="AC3" i="8"/>
  <c r="AC2" i="8"/>
  <c r="AC4" i="9"/>
  <c r="AC3" i="9"/>
  <c r="AC2" i="9"/>
  <c r="D49" i="2"/>
  <c r="D48" i="2"/>
  <c r="E14" i="11" s="1"/>
  <c r="D47" i="2"/>
  <c r="D46" i="2"/>
  <c r="D45" i="2"/>
  <c r="E11" i="11" s="1"/>
  <c r="D44" i="2"/>
  <c r="D43" i="2"/>
  <c r="D42" i="2"/>
  <c r="D41" i="2"/>
  <c r="D40" i="2"/>
  <c r="D39" i="2"/>
  <c r="E5" i="11" s="1"/>
  <c r="D31" i="2"/>
  <c r="D30" i="2"/>
  <c r="D29" i="2"/>
  <c r="D28" i="2"/>
  <c r="D12" i="11" s="1"/>
  <c r="D27" i="2"/>
  <c r="D26" i="2"/>
  <c r="D10" i="11" s="1"/>
  <c r="D25" i="2"/>
  <c r="D24" i="2"/>
  <c r="D8" i="11" s="1"/>
  <c r="D23" i="2"/>
  <c r="D22" i="2"/>
  <c r="D6" i="11" s="1"/>
  <c r="D21" i="2"/>
  <c r="D5" i="11" s="1"/>
  <c r="D13" i="2"/>
  <c r="D12" i="2"/>
  <c r="D11" i="2"/>
  <c r="D10" i="2"/>
  <c r="D9" i="2"/>
  <c r="D8" i="2"/>
  <c r="D7" i="2"/>
  <c r="C9" i="11" s="1"/>
  <c r="D6" i="2"/>
  <c r="D5" i="2"/>
  <c r="D4" i="2"/>
  <c r="C6" i="11" s="1"/>
  <c r="D3" i="2"/>
  <c r="C5" i="11" s="1"/>
  <c r="D49" i="7"/>
  <c r="Z4" i="7" s="1"/>
  <c r="AD38" i="7" s="1"/>
  <c r="D48" i="7"/>
  <c r="E28" i="11" s="1"/>
  <c r="D47" i="7"/>
  <c r="D46" i="7"/>
  <c r="D45" i="7"/>
  <c r="D44" i="7"/>
  <c r="D43" i="7"/>
  <c r="D42" i="7"/>
  <c r="D41" i="7"/>
  <c r="D40" i="7"/>
  <c r="D39" i="7"/>
  <c r="E19" i="11" s="1"/>
  <c r="D31" i="7"/>
  <c r="Z3" i="7" s="1"/>
  <c r="AD35" i="7" s="1"/>
  <c r="D30" i="7"/>
  <c r="D29" i="7"/>
  <c r="D28" i="7"/>
  <c r="D27" i="7"/>
  <c r="D25" i="11" s="1"/>
  <c r="D26" i="7"/>
  <c r="D25" i="7"/>
  <c r="D24" i="7"/>
  <c r="D23" i="7"/>
  <c r="D22" i="7"/>
  <c r="D20" i="11" s="1"/>
  <c r="D21" i="7"/>
  <c r="D19" i="11" s="1"/>
  <c r="D13" i="7"/>
  <c r="D12" i="7"/>
  <c r="D11" i="7"/>
  <c r="D10" i="7"/>
  <c r="C26" i="11" s="1"/>
  <c r="D9" i="7"/>
  <c r="D8" i="7"/>
  <c r="D7" i="7"/>
  <c r="D6" i="7"/>
  <c r="D5" i="7"/>
  <c r="D4" i="7"/>
  <c r="D3" i="7"/>
  <c r="C19" i="11" s="1"/>
  <c r="D49" i="8"/>
  <c r="Z4" i="8" s="1"/>
  <c r="AD38" i="8" s="1"/>
  <c r="D48" i="8"/>
  <c r="D47" i="8"/>
  <c r="D46" i="8"/>
  <c r="E40" i="11" s="1"/>
  <c r="D45" i="8"/>
  <c r="D44" i="8"/>
  <c r="D43" i="8"/>
  <c r="E37" i="11" s="1"/>
  <c r="D42" i="8"/>
  <c r="D41" i="8"/>
  <c r="E35" i="11" s="1"/>
  <c r="D40" i="8"/>
  <c r="D39" i="8"/>
  <c r="E33" i="11" s="1"/>
  <c r="D31" i="8"/>
  <c r="Z3" i="8" s="1"/>
  <c r="AD35" i="8" s="1"/>
  <c r="D30" i="8"/>
  <c r="D29" i="8"/>
  <c r="D28" i="8"/>
  <c r="D40" i="11" s="1"/>
  <c r="D27" i="8"/>
  <c r="D26" i="8"/>
  <c r="D25" i="8"/>
  <c r="D24" i="8"/>
  <c r="D23" i="8"/>
  <c r="D22" i="8"/>
  <c r="D21" i="8"/>
  <c r="D33" i="11" s="1"/>
  <c r="D13" i="8"/>
  <c r="D12" i="8"/>
  <c r="D11" i="8"/>
  <c r="D10" i="8"/>
  <c r="D9" i="8"/>
  <c r="D8" i="8"/>
  <c r="C38" i="11" s="1"/>
  <c r="D7" i="8"/>
  <c r="D6" i="8"/>
  <c r="D5" i="8"/>
  <c r="D4" i="8"/>
  <c r="D3" i="8"/>
  <c r="C33" i="11" s="1"/>
  <c r="D49" i="9"/>
  <c r="E57" i="11" s="1"/>
  <c r="D48" i="9"/>
  <c r="D47" i="9"/>
  <c r="E55" i="11" s="1"/>
  <c r="D46" i="9"/>
  <c r="D45" i="9"/>
  <c r="D44" i="9"/>
  <c r="D43" i="9"/>
  <c r="D42" i="9"/>
  <c r="D41" i="9"/>
  <c r="D40" i="9"/>
  <c r="E48" i="11" s="1"/>
  <c r="D39" i="9"/>
  <c r="E47" i="11" s="1"/>
  <c r="D31" i="9"/>
  <c r="Z3" i="9" s="1"/>
  <c r="AD35" i="9" s="1"/>
  <c r="D30" i="9"/>
  <c r="D29" i="9"/>
  <c r="D28" i="9"/>
  <c r="D27" i="9"/>
  <c r="D26" i="9"/>
  <c r="D25" i="9"/>
  <c r="D24" i="9"/>
  <c r="D23" i="9"/>
  <c r="D22" i="9"/>
  <c r="D21" i="9"/>
  <c r="D47" i="11" s="1"/>
  <c r="D13" i="9"/>
  <c r="Z2" i="9" s="1"/>
  <c r="D12" i="9"/>
  <c r="D11" i="9"/>
  <c r="D10" i="9"/>
  <c r="D9" i="9"/>
  <c r="C53" i="11" s="1"/>
  <c r="D8" i="9"/>
  <c r="D7" i="9"/>
  <c r="D6" i="9"/>
  <c r="D5" i="9"/>
  <c r="D4" i="9"/>
  <c r="D3" i="9"/>
  <c r="C47" i="11" s="1"/>
  <c r="D49" i="10"/>
  <c r="Z4" i="10" s="1"/>
  <c r="D48" i="10"/>
  <c r="D47" i="10"/>
  <c r="E69" i="11" s="1"/>
  <c r="D46" i="10"/>
  <c r="E68" i="11" s="1"/>
  <c r="D45" i="10"/>
  <c r="E67" i="11" s="1"/>
  <c r="D44" i="10"/>
  <c r="D43" i="10"/>
  <c r="E65" i="11" s="1"/>
  <c r="D42" i="10"/>
  <c r="D41" i="10"/>
  <c r="E63" i="11" s="1"/>
  <c r="D40" i="10"/>
  <c r="E62" i="11" s="1"/>
  <c r="D39" i="10"/>
  <c r="E61" i="11" s="1"/>
  <c r="D31" i="10"/>
  <c r="D71" i="11" s="1"/>
  <c r="D30" i="10"/>
  <c r="D70" i="11" s="1"/>
  <c r="D29" i="10"/>
  <c r="D69" i="11" s="1"/>
  <c r="D28" i="10"/>
  <c r="D68" i="11" s="1"/>
  <c r="D27" i="10"/>
  <c r="D67" i="11" s="1"/>
  <c r="D26" i="10"/>
  <c r="D66" i="11" s="1"/>
  <c r="D25" i="10"/>
  <c r="D65" i="11" s="1"/>
  <c r="D24" i="10"/>
  <c r="D23" i="10"/>
  <c r="D63" i="11" s="1"/>
  <c r="D22" i="10"/>
  <c r="D62" i="11" s="1"/>
  <c r="D21" i="10"/>
  <c r="D61" i="11" s="1"/>
  <c r="D12" i="10"/>
  <c r="C70" i="11" s="1"/>
  <c r="D11" i="10"/>
  <c r="C69" i="11" s="1"/>
  <c r="D10" i="10"/>
  <c r="D9" i="10"/>
  <c r="C67" i="11" s="1"/>
  <c r="D8" i="10"/>
  <c r="C66" i="11" s="1"/>
  <c r="D7" i="10"/>
  <c r="C65" i="11" s="1"/>
  <c r="F65" i="11" s="1"/>
  <c r="D6" i="10"/>
  <c r="D5" i="10"/>
  <c r="D4" i="10"/>
  <c r="C62" i="11" s="1"/>
  <c r="D3" i="10"/>
  <c r="C61" i="11" s="1"/>
  <c r="D13" i="10"/>
  <c r="C71" i="11" s="1"/>
  <c r="R2" i="8"/>
  <c r="T2" i="8"/>
  <c r="R3" i="8"/>
  <c r="R4" i="8"/>
  <c r="AC15" i="2"/>
  <c r="AC14" i="2"/>
  <c r="AC13" i="2"/>
  <c r="AC12" i="2"/>
  <c r="AC11" i="2"/>
  <c r="AC10" i="2"/>
  <c r="AC9" i="2"/>
  <c r="AC8" i="2"/>
  <c r="AC7" i="2"/>
  <c r="U15" i="2"/>
  <c r="U14" i="2"/>
  <c r="U13" i="2"/>
  <c r="U12" i="2"/>
  <c r="U11" i="2"/>
  <c r="U10" i="2"/>
  <c r="U9" i="2"/>
  <c r="U8" i="2"/>
  <c r="U7" i="2"/>
  <c r="AC15" i="7"/>
  <c r="AC14" i="7"/>
  <c r="AC13" i="7"/>
  <c r="AC12" i="7"/>
  <c r="AC11" i="7"/>
  <c r="AC10" i="7"/>
  <c r="AC9" i="7"/>
  <c r="AC8" i="7"/>
  <c r="AC7" i="7"/>
  <c r="U15" i="7"/>
  <c r="U14" i="7"/>
  <c r="U13" i="7"/>
  <c r="U12" i="7"/>
  <c r="U11" i="7"/>
  <c r="U10" i="7"/>
  <c r="U9" i="7"/>
  <c r="U8" i="7"/>
  <c r="U7" i="7"/>
  <c r="AC15" i="8"/>
  <c r="AC14" i="8"/>
  <c r="AC13" i="8"/>
  <c r="AC12" i="8"/>
  <c r="AC11" i="8"/>
  <c r="AC10" i="8"/>
  <c r="AC9" i="8"/>
  <c r="AC8" i="8"/>
  <c r="AC7" i="8"/>
  <c r="U15" i="8"/>
  <c r="U14" i="8"/>
  <c r="U13" i="8"/>
  <c r="U12" i="8"/>
  <c r="U11" i="8"/>
  <c r="U10" i="8"/>
  <c r="U9" i="8"/>
  <c r="U8" i="8"/>
  <c r="U7" i="8"/>
  <c r="AC15" i="9"/>
  <c r="AC14" i="9"/>
  <c r="AC13" i="9"/>
  <c r="AC12" i="9"/>
  <c r="AC11" i="9"/>
  <c r="AC10" i="9"/>
  <c r="AC9" i="9"/>
  <c r="AC8" i="9"/>
  <c r="AC7" i="9"/>
  <c r="U15" i="9"/>
  <c r="U14" i="9"/>
  <c r="U13" i="9"/>
  <c r="U12" i="9"/>
  <c r="U11" i="9"/>
  <c r="U10" i="9"/>
  <c r="U9" i="9"/>
  <c r="U8" i="9"/>
  <c r="U7" i="9"/>
  <c r="AC15" i="10"/>
  <c r="AC14" i="10"/>
  <c r="AC13" i="10"/>
  <c r="AC12" i="10"/>
  <c r="AC11" i="10"/>
  <c r="AC10" i="10"/>
  <c r="AC9" i="10"/>
  <c r="AC8" i="10"/>
  <c r="AC7" i="10"/>
  <c r="U8" i="10"/>
  <c r="U9" i="10"/>
  <c r="U10" i="10"/>
  <c r="U11" i="10"/>
  <c r="U12" i="10"/>
  <c r="U13" i="10"/>
  <c r="U14" i="10"/>
  <c r="U15" i="10"/>
  <c r="U7" i="10"/>
  <c r="AC4" i="10"/>
  <c r="AC3" i="10"/>
  <c r="AC2" i="10"/>
  <c r="M22" i="2"/>
  <c r="M21" i="2"/>
  <c r="M20" i="2"/>
  <c r="M22" i="7"/>
  <c r="M21" i="7"/>
  <c r="M20" i="7"/>
  <c r="M22" i="8"/>
  <c r="M21" i="8"/>
  <c r="M20" i="8"/>
  <c r="M13" i="2"/>
  <c r="M12" i="2"/>
  <c r="M11" i="2"/>
  <c r="M13" i="7"/>
  <c r="M12" i="7"/>
  <c r="M11" i="7"/>
  <c r="M13" i="8"/>
  <c r="M12" i="8"/>
  <c r="M11" i="8"/>
  <c r="M7" i="2"/>
  <c r="M6" i="2"/>
  <c r="M5" i="2"/>
  <c r="M7" i="7"/>
  <c r="M6" i="7"/>
  <c r="M5" i="7"/>
  <c r="M7" i="8"/>
  <c r="M6" i="8"/>
  <c r="M5" i="8"/>
  <c r="M22" i="9"/>
  <c r="M21" i="9"/>
  <c r="M20" i="9"/>
  <c r="M13" i="9"/>
  <c r="M12" i="9"/>
  <c r="M11" i="9"/>
  <c r="M7" i="9"/>
  <c r="M6" i="9"/>
  <c r="M5" i="9"/>
  <c r="M22" i="10"/>
  <c r="M21" i="10"/>
  <c r="M20" i="10"/>
  <c r="M13" i="10"/>
  <c r="M12" i="10"/>
  <c r="M11" i="10"/>
  <c r="M7" i="10"/>
  <c r="M6" i="10"/>
  <c r="M5" i="10"/>
  <c r="F33" i="11" l="1"/>
  <c r="AD32" i="9"/>
  <c r="C50" i="11"/>
  <c r="AE2" i="8"/>
  <c r="C51" i="11"/>
  <c r="D48" i="11"/>
  <c r="D56" i="11"/>
  <c r="E53" i="11"/>
  <c r="F53" i="11" s="1"/>
  <c r="C36" i="11"/>
  <c r="D41" i="11"/>
  <c r="E38" i="11"/>
  <c r="C21" i="11"/>
  <c r="C29" i="11"/>
  <c r="D26" i="11"/>
  <c r="G26" i="11" s="1"/>
  <c r="E23" i="11"/>
  <c r="C14" i="11"/>
  <c r="G14" i="11" s="1"/>
  <c r="D11" i="11"/>
  <c r="E8" i="11"/>
  <c r="AD2" i="8"/>
  <c r="E7" i="11"/>
  <c r="F71" i="11"/>
  <c r="D64" i="11"/>
  <c r="G69" i="11"/>
  <c r="C37" i="11"/>
  <c r="D34" i="11"/>
  <c r="D42" i="11"/>
  <c r="E39" i="11"/>
  <c r="C22" i="11"/>
  <c r="D27" i="11"/>
  <c r="F27" i="11" s="1"/>
  <c r="E24" i="11"/>
  <c r="C7" i="11"/>
  <c r="C15" i="11"/>
  <c r="F15" i="11" s="1"/>
  <c r="Z2" i="2"/>
  <c r="E9" i="11"/>
  <c r="Z2" i="10"/>
  <c r="C28" i="11"/>
  <c r="AE2" i="7"/>
  <c r="F67" i="11"/>
  <c r="E70" i="11"/>
  <c r="D50" i="11"/>
  <c r="D35" i="11"/>
  <c r="D43" i="11"/>
  <c r="C23" i="11"/>
  <c r="D28" i="11"/>
  <c r="E25" i="11"/>
  <c r="C8" i="11"/>
  <c r="G8" i="11" s="1"/>
  <c r="D13" i="11"/>
  <c r="E10" i="11"/>
  <c r="Z3" i="10"/>
  <c r="Z4" i="9"/>
  <c r="AD38" i="9" s="1"/>
  <c r="C35" i="11"/>
  <c r="C20" i="11"/>
  <c r="C13" i="11"/>
  <c r="G62" i="11"/>
  <c r="F62" i="11"/>
  <c r="C68" i="11"/>
  <c r="C54" i="11"/>
  <c r="D51" i="11"/>
  <c r="E56" i="11"/>
  <c r="C39" i="11"/>
  <c r="D36" i="11"/>
  <c r="E41" i="11"/>
  <c r="C24" i="11"/>
  <c r="D21" i="11"/>
  <c r="D29" i="11"/>
  <c r="E26" i="11"/>
  <c r="F26" i="11" s="1"/>
  <c r="D57" i="11"/>
  <c r="C64" i="11"/>
  <c r="D55" i="11"/>
  <c r="F55" i="11" s="1"/>
  <c r="E15" i="11"/>
  <c r="Z4" i="2"/>
  <c r="AD38" i="2" s="1"/>
  <c r="C43" i="11"/>
  <c r="E64" i="11"/>
  <c r="G47" i="11"/>
  <c r="C55" i="11"/>
  <c r="D52" i="11"/>
  <c r="E49" i="11"/>
  <c r="C40" i="11"/>
  <c r="D37" i="11"/>
  <c r="E34" i="11"/>
  <c r="E42" i="11"/>
  <c r="C25" i="11"/>
  <c r="D22" i="11"/>
  <c r="E27" i="11"/>
  <c r="C10" i="11"/>
  <c r="D7" i="11"/>
  <c r="D15" i="11"/>
  <c r="Z3" i="2"/>
  <c r="AD35" i="2" s="1"/>
  <c r="E12" i="11"/>
  <c r="Z2" i="8"/>
  <c r="E54" i="11"/>
  <c r="E22" i="11"/>
  <c r="F22" i="11" s="1"/>
  <c r="AE2" i="9"/>
  <c r="S2" i="8"/>
  <c r="G70" i="11"/>
  <c r="F70" i="11"/>
  <c r="C48" i="11"/>
  <c r="C56" i="11"/>
  <c r="D53" i="11"/>
  <c r="E50" i="11"/>
  <c r="C41" i="11"/>
  <c r="F41" i="11" s="1"/>
  <c r="D38" i="11"/>
  <c r="G38" i="11" s="1"/>
  <c r="E43" i="11"/>
  <c r="C11" i="11"/>
  <c r="G11" i="11" s="1"/>
  <c r="F5" i="11"/>
  <c r="E13" i="11"/>
  <c r="Z2" i="7"/>
  <c r="G65" i="11"/>
  <c r="D23" i="11"/>
  <c r="F23" i="11" s="1"/>
  <c r="C52" i="11"/>
  <c r="E52" i="11"/>
  <c r="C63" i="11"/>
  <c r="E66" i="11"/>
  <c r="G66" i="11" s="1"/>
  <c r="C49" i="11"/>
  <c r="C57" i="11"/>
  <c r="F57" i="11" s="1"/>
  <c r="D54" i="11"/>
  <c r="E51" i="11"/>
  <c r="C34" i="11"/>
  <c r="F34" i="11" s="1"/>
  <c r="C42" i="11"/>
  <c r="D39" i="11"/>
  <c r="F39" i="11" s="1"/>
  <c r="E36" i="11"/>
  <c r="C27" i="11"/>
  <c r="D24" i="11"/>
  <c r="E21" i="11"/>
  <c r="E29" i="11"/>
  <c r="C12" i="11"/>
  <c r="G12" i="11" s="1"/>
  <c r="D9" i="11"/>
  <c r="G9" i="11" s="1"/>
  <c r="E6" i="11"/>
  <c r="F6" i="11" s="1"/>
  <c r="G71" i="11"/>
  <c r="E20" i="11"/>
  <c r="D49" i="11"/>
  <c r="G67" i="11"/>
  <c r="G61" i="11"/>
  <c r="G54" i="11"/>
  <c r="G33" i="11"/>
  <c r="G19" i="11"/>
  <c r="F19" i="11"/>
  <c r="G5" i="11"/>
  <c r="F7" i="11"/>
  <c r="F12" i="11"/>
  <c r="F28" i="11"/>
  <c r="F50" i="11"/>
  <c r="F61" i="11"/>
  <c r="F69" i="11"/>
  <c r="F14" i="11"/>
  <c r="F47" i="11"/>
  <c r="F66" i="11"/>
  <c r="AD2" i="7"/>
  <c r="AD2" i="9"/>
  <c r="AD38" i="10"/>
  <c r="AD32" i="10"/>
  <c r="AD13" i="9"/>
  <c r="AD10" i="9"/>
  <c r="AD7" i="9"/>
  <c r="F64" i="11" l="1"/>
  <c r="G53" i="11"/>
  <c r="F13" i="11"/>
  <c r="F8" i="11"/>
  <c r="F11" i="11"/>
  <c r="G10" i="11"/>
  <c r="G25" i="11"/>
  <c r="F36" i="11"/>
  <c r="G63" i="11"/>
  <c r="F63" i="11"/>
  <c r="G52" i="11"/>
  <c r="F52" i="11"/>
  <c r="G36" i="11"/>
  <c r="G20" i="11"/>
  <c r="F20" i="11"/>
  <c r="F38" i="11"/>
  <c r="G64" i="11"/>
  <c r="F29" i="11"/>
  <c r="G29" i="11"/>
  <c r="AB2" i="8"/>
  <c r="AA2" i="8"/>
  <c r="AD32" i="8"/>
  <c r="G68" i="11"/>
  <c r="F68" i="11"/>
  <c r="AD32" i="2"/>
  <c r="AB2" i="2"/>
  <c r="AA2" i="2"/>
  <c r="F37" i="11"/>
  <c r="G37" i="11"/>
  <c r="G21" i="11"/>
  <c r="F21" i="11"/>
  <c r="G42" i="11"/>
  <c r="G39" i="11"/>
  <c r="F35" i="11"/>
  <c r="G35" i="11"/>
  <c r="G6" i="11"/>
  <c r="G51" i="11"/>
  <c r="F51" i="11"/>
  <c r="AD35" i="10"/>
  <c r="F56" i="11"/>
  <c r="G56" i="11"/>
  <c r="G27" i="11"/>
  <c r="F43" i="11"/>
  <c r="G43" i="11"/>
  <c r="G57" i="11"/>
  <c r="G23" i="11"/>
  <c r="F9" i="11"/>
  <c r="F25" i="11"/>
  <c r="G48" i="11"/>
  <c r="F48" i="11"/>
  <c r="F24" i="11"/>
  <c r="G24" i="11"/>
  <c r="AA2" i="9"/>
  <c r="G34" i="11"/>
  <c r="G49" i="11"/>
  <c r="F49" i="11"/>
  <c r="F10" i="11"/>
  <c r="AA2" i="7"/>
  <c r="AD32" i="7"/>
  <c r="AB2" i="7"/>
  <c r="G22" i="11"/>
  <c r="G28" i="11"/>
  <c r="G7" i="11"/>
  <c r="G41" i="11"/>
  <c r="G50" i="11"/>
  <c r="AB2" i="9"/>
  <c r="G40" i="11"/>
  <c r="F40" i="11"/>
  <c r="F42" i="11"/>
  <c r="G13" i="11"/>
  <c r="F54" i="11"/>
  <c r="G55" i="11"/>
  <c r="G15" i="11"/>
  <c r="J39" i="10"/>
  <c r="J38" i="10"/>
  <c r="J21" i="10"/>
  <c r="J20" i="10"/>
  <c r="J3" i="10"/>
  <c r="J2" i="10"/>
  <c r="J39" i="9"/>
  <c r="J38" i="9"/>
  <c r="J21" i="9"/>
  <c r="J20" i="9"/>
  <c r="J3" i="9"/>
  <c r="J2" i="9"/>
  <c r="J39" i="8"/>
  <c r="J38" i="8"/>
  <c r="J21" i="8"/>
  <c r="J20" i="8"/>
  <c r="J3" i="8"/>
  <c r="J2" i="8"/>
  <c r="Z23" i="10"/>
  <c r="Z22" i="10"/>
  <c r="Z21" i="10"/>
  <c r="AB13" i="10"/>
  <c r="AA13" i="10"/>
  <c r="W13" i="10"/>
  <c r="V13" i="10"/>
  <c r="T13" i="10"/>
  <c r="S13" i="10"/>
  <c r="AB10" i="10"/>
  <c r="AA10" i="10"/>
  <c r="W10" i="10"/>
  <c r="V10" i="10"/>
  <c r="T10" i="10"/>
  <c r="S10" i="10"/>
  <c r="AB7" i="10"/>
  <c r="AA7" i="10"/>
  <c r="W7" i="10"/>
  <c r="V7" i="10"/>
  <c r="T7" i="10"/>
  <c r="S7" i="10"/>
  <c r="R4" i="10"/>
  <c r="R3" i="10"/>
  <c r="R19" i="10" s="1"/>
  <c r="AB2" i="10"/>
  <c r="AA2" i="10"/>
  <c r="R2" i="10"/>
  <c r="Z23" i="9"/>
  <c r="Z22" i="9"/>
  <c r="Z21" i="9"/>
  <c r="Z20" i="9"/>
  <c r="Z18" i="9"/>
  <c r="AB13" i="9"/>
  <c r="AA13" i="9"/>
  <c r="W13" i="9"/>
  <c r="V13" i="9"/>
  <c r="T13" i="9"/>
  <c r="S13" i="9"/>
  <c r="AB10" i="9"/>
  <c r="AA10" i="9"/>
  <c r="W10" i="9"/>
  <c r="V10" i="9"/>
  <c r="T10" i="9"/>
  <c r="S10" i="9"/>
  <c r="AB7" i="9"/>
  <c r="AA7" i="9"/>
  <c r="W7" i="9"/>
  <c r="V7" i="9"/>
  <c r="T7" i="9"/>
  <c r="S7" i="9"/>
  <c r="R4" i="9"/>
  <c r="Z19" i="9"/>
  <c r="R3" i="9"/>
  <c r="R2" i="9"/>
  <c r="Z23" i="8"/>
  <c r="Z22" i="8"/>
  <c r="Z25" i="8" s="1"/>
  <c r="Z21" i="8"/>
  <c r="AB13" i="8"/>
  <c r="AA13" i="8"/>
  <c r="W13" i="8"/>
  <c r="V13" i="8"/>
  <c r="T13" i="8"/>
  <c r="S13" i="8"/>
  <c r="AB10" i="8"/>
  <c r="AA10" i="8"/>
  <c r="W10" i="8"/>
  <c r="V10" i="8"/>
  <c r="T10" i="8"/>
  <c r="S10" i="8"/>
  <c r="AB7" i="8"/>
  <c r="AA7" i="8"/>
  <c r="W7" i="8"/>
  <c r="V7" i="8"/>
  <c r="T7" i="8"/>
  <c r="S7" i="8"/>
  <c r="Z23" i="7"/>
  <c r="Z22" i="7"/>
  <c r="Z21" i="7"/>
  <c r="AB13" i="7"/>
  <c r="AA13" i="7"/>
  <c r="W13" i="7"/>
  <c r="V13" i="7"/>
  <c r="T13" i="7"/>
  <c r="S13" i="7"/>
  <c r="AB10" i="7"/>
  <c r="AA10" i="7"/>
  <c r="W10" i="7"/>
  <c r="V10" i="7"/>
  <c r="T10" i="7"/>
  <c r="S10" i="7"/>
  <c r="AB7" i="7"/>
  <c r="AA7" i="7"/>
  <c r="W7" i="7"/>
  <c r="V7" i="7"/>
  <c r="T7" i="7"/>
  <c r="S7" i="7"/>
  <c r="R4" i="7"/>
  <c r="R3" i="7"/>
  <c r="R2" i="7"/>
  <c r="Z22" i="2"/>
  <c r="Z23" i="2"/>
  <c r="Z21" i="2"/>
  <c r="R4" i="2"/>
  <c r="R3" i="2"/>
  <c r="R2" i="2"/>
  <c r="F19" i="1"/>
  <c r="G19" i="1"/>
  <c r="R18" i="10" l="1"/>
  <c r="R20" i="8"/>
  <c r="R19" i="7"/>
  <c r="R18" i="7"/>
  <c r="R20" i="7"/>
  <c r="R18" i="8"/>
  <c r="R19" i="8"/>
  <c r="R20" i="9"/>
  <c r="R18" i="9"/>
  <c r="R19" i="9"/>
  <c r="R20" i="10"/>
  <c r="Z24" i="7"/>
  <c r="AA24" i="7" s="1"/>
  <c r="Z26" i="7"/>
  <c r="Z25" i="7"/>
  <c r="AB24" i="7" s="1"/>
  <c r="Z24" i="8"/>
  <c r="Z26" i="8"/>
  <c r="Z26" i="9"/>
  <c r="Z29" i="9"/>
  <c r="Z25" i="9"/>
  <c r="Z24" i="9"/>
  <c r="Z25" i="10"/>
  <c r="Z26" i="10"/>
  <c r="AB21" i="10"/>
  <c r="AA21" i="10"/>
  <c r="S2" i="10"/>
  <c r="T2" i="10"/>
  <c r="Z24" i="10"/>
  <c r="AA24" i="9"/>
  <c r="AA21" i="9"/>
  <c r="AB21" i="9"/>
  <c r="S2" i="9"/>
  <c r="AB18" i="9"/>
  <c r="T2" i="9"/>
  <c r="AA18" i="9"/>
  <c r="AA24" i="8"/>
  <c r="AB24" i="8"/>
  <c r="AA21" i="8"/>
  <c r="AB21" i="8"/>
  <c r="AB21" i="7"/>
  <c r="AA21" i="7"/>
  <c r="S2" i="7"/>
  <c r="T2" i="7"/>
  <c r="O20" i="10"/>
  <c r="N20" i="10"/>
  <c r="O17" i="10"/>
  <c r="N17" i="10"/>
  <c r="O20" i="9"/>
  <c r="N20" i="9"/>
  <c r="O17" i="9"/>
  <c r="N17" i="9"/>
  <c r="O20" i="8"/>
  <c r="N20" i="8"/>
  <c r="O17" i="8"/>
  <c r="N17" i="8"/>
  <c r="O20" i="7"/>
  <c r="N20" i="7"/>
  <c r="O17" i="7"/>
  <c r="N17" i="7"/>
  <c r="O20" i="2"/>
  <c r="N20" i="2"/>
  <c r="O17" i="2"/>
  <c r="N17" i="2"/>
  <c r="F21" i="1"/>
  <c r="T18" i="7" l="1"/>
  <c r="Z27" i="9"/>
  <c r="Z28" i="9"/>
  <c r="AA27" i="9" s="1"/>
  <c r="F22" i="1"/>
  <c r="M25" i="7"/>
  <c r="M24" i="7"/>
  <c r="M25" i="8"/>
  <c r="M23" i="7"/>
  <c r="M25" i="9"/>
  <c r="M24" i="9"/>
  <c r="M25" i="2"/>
  <c r="M23" i="9"/>
  <c r="M25" i="10"/>
  <c r="M24" i="8"/>
  <c r="M24" i="2"/>
  <c r="M23" i="2"/>
  <c r="M23" i="8"/>
  <c r="M23" i="10"/>
  <c r="M24" i="10"/>
  <c r="S18" i="10"/>
  <c r="T18" i="9"/>
  <c r="T18" i="10"/>
  <c r="S18" i="8"/>
  <c r="S18" i="9"/>
  <c r="T18" i="8"/>
  <c r="S18" i="7"/>
  <c r="AB24" i="9"/>
  <c r="AA24" i="10"/>
  <c r="AB24" i="10"/>
  <c r="K14" i="1"/>
  <c r="K4" i="1"/>
  <c r="N23" i="10" l="1"/>
  <c r="N23" i="9"/>
  <c r="O23" i="9"/>
  <c r="J22" i="2"/>
  <c r="J4" i="2"/>
  <c r="J40" i="2"/>
  <c r="O23" i="10"/>
  <c r="N23" i="8"/>
  <c r="O23" i="8"/>
  <c r="AB27" i="9"/>
  <c r="N23" i="2"/>
  <c r="O23" i="2"/>
  <c r="O23" i="7"/>
  <c r="N23" i="7"/>
  <c r="M16" i="10"/>
  <c r="M15" i="10"/>
  <c r="M14" i="10"/>
  <c r="AE13" i="10"/>
  <c r="AD13" i="10"/>
  <c r="O11" i="10"/>
  <c r="N11" i="10"/>
  <c r="AE10" i="10"/>
  <c r="AD10" i="10"/>
  <c r="O8" i="10"/>
  <c r="N8" i="10"/>
  <c r="AE7" i="10"/>
  <c r="AD7" i="10"/>
  <c r="O5" i="10"/>
  <c r="N5" i="10"/>
  <c r="O2" i="10"/>
  <c r="N2" i="10"/>
  <c r="M16" i="9"/>
  <c r="M15" i="9"/>
  <c r="M14" i="9"/>
  <c r="AE13" i="9"/>
  <c r="O11" i="9"/>
  <c r="N11" i="9"/>
  <c r="AE10" i="9"/>
  <c r="O8" i="9"/>
  <c r="N8" i="9"/>
  <c r="AE7" i="9"/>
  <c r="O5" i="9"/>
  <c r="N5" i="9"/>
  <c r="O2" i="9"/>
  <c r="N2" i="9"/>
  <c r="M16" i="8"/>
  <c r="M15" i="8"/>
  <c r="M14" i="8"/>
  <c r="O14" i="8" s="1"/>
  <c r="AE13" i="8"/>
  <c r="AD13" i="8"/>
  <c r="O11" i="8"/>
  <c r="N11" i="8"/>
  <c r="AE10" i="8"/>
  <c r="AD10" i="8"/>
  <c r="O8" i="8"/>
  <c r="N8" i="8"/>
  <c r="AE7" i="8"/>
  <c r="AD7" i="8"/>
  <c r="O5" i="8"/>
  <c r="N5" i="8"/>
  <c r="O2" i="8"/>
  <c r="N2" i="8"/>
  <c r="M16" i="7"/>
  <c r="M15" i="7"/>
  <c r="M14" i="7"/>
  <c r="AE13" i="7"/>
  <c r="AD13" i="7"/>
  <c r="O11" i="7"/>
  <c r="N11" i="7"/>
  <c r="AE10" i="7"/>
  <c r="AD10" i="7"/>
  <c r="O8" i="7"/>
  <c r="N8" i="7"/>
  <c r="AE7" i="7"/>
  <c r="AD7" i="7"/>
  <c r="O5" i="7"/>
  <c r="N5" i="7"/>
  <c r="O2" i="7"/>
  <c r="N2" i="7"/>
  <c r="Z26" i="2"/>
  <c r="Z25" i="2"/>
  <c r="Z24" i="2"/>
  <c r="AA24" i="2" s="1"/>
  <c r="AB21" i="2"/>
  <c r="AA21" i="2"/>
  <c r="AE13" i="2"/>
  <c r="AD13" i="2"/>
  <c r="AB13" i="2"/>
  <c r="AA13" i="2"/>
  <c r="AE10" i="2"/>
  <c r="AD10" i="2"/>
  <c r="AB10" i="2"/>
  <c r="AA10" i="2"/>
  <c r="AE7" i="2"/>
  <c r="AD7" i="2"/>
  <c r="AB7" i="2"/>
  <c r="AA7" i="2"/>
  <c r="O8" i="2"/>
  <c r="O2" i="2"/>
  <c r="M16" i="2"/>
  <c r="M15" i="2"/>
  <c r="M14" i="2"/>
  <c r="T13" i="2"/>
  <c r="T10" i="2"/>
  <c r="T7" i="2"/>
  <c r="W13" i="2"/>
  <c r="W10" i="2"/>
  <c r="W7" i="2"/>
  <c r="V13" i="2"/>
  <c r="R20" i="2" s="1"/>
  <c r="V10" i="2"/>
  <c r="R19" i="2" s="1"/>
  <c r="V7" i="2"/>
  <c r="R18" i="2" s="1"/>
  <c r="T2" i="2"/>
  <c r="S2" i="2"/>
  <c r="S13" i="2"/>
  <c r="S10" i="2"/>
  <c r="S7" i="2"/>
  <c r="K5" i="1"/>
  <c r="Z18" i="7" l="1"/>
  <c r="Z20" i="7"/>
  <c r="Z18" i="10"/>
  <c r="Z20" i="10"/>
  <c r="Z19" i="2"/>
  <c r="Z18" i="8"/>
  <c r="Z20" i="8"/>
  <c r="Z19" i="7"/>
  <c r="Z19" i="10"/>
  <c r="S18" i="2"/>
  <c r="Z18" i="2"/>
  <c r="Z20" i="2"/>
  <c r="Z19" i="8"/>
  <c r="Z29" i="10"/>
  <c r="Z28" i="10"/>
  <c r="AA18" i="2"/>
  <c r="AB18" i="2"/>
  <c r="Z29" i="2"/>
  <c r="Z28" i="2"/>
  <c r="T18" i="2"/>
  <c r="AA18" i="7"/>
  <c r="Z27" i="7"/>
  <c r="Z27" i="8"/>
  <c r="AA18" i="10"/>
  <c r="Z27" i="10"/>
  <c r="AB18" i="10"/>
  <c r="AB24" i="2"/>
  <c r="O14" i="9"/>
  <c r="Z27" i="2"/>
  <c r="O14" i="7"/>
  <c r="O14" i="10"/>
  <c r="N14" i="10"/>
  <c r="N14" i="9"/>
  <c r="N14" i="8"/>
  <c r="N14" i="7"/>
  <c r="C15" i="1"/>
  <c r="G15" i="1"/>
  <c r="E15" i="1"/>
  <c r="D15" i="1"/>
  <c r="G14" i="1"/>
  <c r="F14" i="1"/>
  <c r="K23" i="1"/>
  <c r="K15" i="1"/>
  <c r="K24" i="1" s="1"/>
  <c r="K16" i="1"/>
  <c r="K17" i="1"/>
  <c r="K18" i="1"/>
  <c r="K6" i="1"/>
  <c r="K7" i="1"/>
  <c r="K26" i="1" s="1"/>
  <c r="L26" i="1" s="1"/>
  <c r="M26" i="1" s="1"/>
  <c r="K8" i="1"/>
  <c r="O14" i="2"/>
  <c r="N14" i="2"/>
  <c r="O11" i="2"/>
  <c r="O5" i="2"/>
  <c r="N11" i="2"/>
  <c r="N8" i="2"/>
  <c r="N5" i="2"/>
  <c r="N2" i="2"/>
  <c r="G9" i="1"/>
  <c r="F9" i="1"/>
  <c r="G10" i="1"/>
  <c r="E10" i="1"/>
  <c r="D10" i="1"/>
  <c r="C10" i="1"/>
  <c r="F10" i="1" s="1"/>
  <c r="D5" i="1"/>
  <c r="E5" i="1"/>
  <c r="C5" i="1"/>
  <c r="Z29" i="7" l="1"/>
  <c r="Z28" i="8"/>
  <c r="Z28" i="7"/>
  <c r="Z29" i="8"/>
  <c r="AA18" i="8"/>
  <c r="AB18" i="8"/>
  <c r="AB18" i="7"/>
  <c r="AB27" i="7"/>
  <c r="AA27" i="7"/>
  <c r="AA27" i="8"/>
  <c r="AB27" i="8"/>
  <c r="AA27" i="10"/>
  <c r="AB27" i="10"/>
  <c r="L23" i="1"/>
  <c r="M23" i="1" s="1"/>
  <c r="K27" i="1"/>
  <c r="L27" i="1" s="1"/>
  <c r="AB27" i="2"/>
  <c r="AA27" i="2"/>
  <c r="K25" i="1"/>
  <c r="L25" i="1" s="1"/>
  <c r="M25" i="1" s="1"/>
  <c r="F15" i="1"/>
  <c r="L24" i="1"/>
  <c r="M24" i="1" s="1"/>
  <c r="G5" i="1"/>
  <c r="F5" i="1"/>
  <c r="G4" i="1"/>
  <c r="F4" i="1"/>
  <c r="M27" i="9" l="1"/>
  <c r="M28" i="10"/>
  <c r="M27" i="2"/>
  <c r="M28" i="7"/>
  <c r="M27" i="7"/>
  <c r="M28" i="9"/>
  <c r="M27" i="8"/>
  <c r="M26" i="9"/>
  <c r="M28" i="8"/>
  <c r="M28" i="2"/>
  <c r="M26" i="10"/>
  <c r="M26" i="7"/>
  <c r="M26" i="2"/>
  <c r="M26" i="8"/>
  <c r="M27" i="10"/>
  <c r="J39" i="2"/>
  <c r="J3" i="2"/>
  <c r="J21" i="2"/>
  <c r="M27" i="1"/>
  <c r="L4" i="1"/>
  <c r="M4" i="1" s="1"/>
  <c r="L7" i="1"/>
  <c r="M7" i="1" s="1"/>
  <c r="L8" i="1"/>
  <c r="M8" i="1" s="1"/>
  <c r="L5" i="1"/>
  <c r="M5" i="1" s="1"/>
  <c r="L14" i="1"/>
  <c r="M14" i="1" s="1"/>
  <c r="L18" i="1"/>
  <c r="M18" i="1" s="1"/>
  <c r="L16" i="1"/>
  <c r="M16" i="1" s="1"/>
  <c r="L6" i="1"/>
  <c r="M6" i="1" s="1"/>
  <c r="L15" i="1"/>
  <c r="M15" i="1" s="1"/>
  <c r="J2" i="7" s="1"/>
  <c r="L17" i="1"/>
  <c r="M17" i="1" s="1"/>
  <c r="O26" i="8" l="1"/>
  <c r="N26" i="8"/>
  <c r="O26" i="2"/>
  <c r="N26" i="2"/>
  <c r="N26" i="7"/>
  <c r="O26" i="7"/>
  <c r="O26" i="10"/>
  <c r="N26" i="10"/>
  <c r="J38" i="2"/>
  <c r="J2" i="2"/>
  <c r="J20" i="2"/>
  <c r="O26" i="9"/>
  <c r="N26" i="9"/>
  <c r="K35" i="1"/>
  <c r="K33" i="1"/>
  <c r="K34" i="1"/>
  <c r="K36" i="1"/>
  <c r="K32" i="1"/>
  <c r="AE2" i="10" l="1"/>
  <c r="AD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5" authorId="0" shapeId="0" xr:uid="{985B8F7E-51D6-4B0C-8046-37D14C7DF66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charset val="1"/>
          </rPr>
          <t xml:space="preserve">
Werte auf 0 gesetzt, da sie nicht berechenbar waren. Der ECI muss zwischen 0 und 1 liegen</t>
        </r>
      </text>
    </comment>
  </commentList>
</comments>
</file>

<file path=xl/sharedStrings.xml><?xml version="1.0" encoding="utf-8"?>
<sst xmlns="http://schemas.openxmlformats.org/spreadsheetml/2006/main" count="1302" uniqueCount="204">
  <si>
    <t>PigSLK</t>
  </si>
  <si>
    <t>Berechnung Fütterungsmenge Substrat (PigSLK)</t>
  </si>
  <si>
    <t>Tiere pro Box</t>
  </si>
  <si>
    <t>Replikat 1</t>
  </si>
  <si>
    <t>Replikat 2</t>
  </si>
  <si>
    <t>Replikat 3</t>
  </si>
  <si>
    <t>MW</t>
  </si>
  <si>
    <t>STABW</t>
  </si>
  <si>
    <t>gewünschte Fütterungsmenge [mg]</t>
  </si>
  <si>
    <t>Gesamtmasse zum Einwiegen [g]</t>
  </si>
  <si>
    <t>Wassergehalt (%)</t>
  </si>
  <si>
    <t>Trockensubstanz (%)</t>
  </si>
  <si>
    <t>Weizenkleie</t>
  </si>
  <si>
    <t> </t>
  </si>
  <si>
    <t>Wassergehalt [%]</t>
  </si>
  <si>
    <t>Trockensubstanz [%]</t>
  </si>
  <si>
    <t>% Substrat</t>
  </si>
  <si>
    <t>% Weizenkleie</t>
  </si>
  <si>
    <t>Inhalt der Boxen</t>
  </si>
  <si>
    <t>Gesamtgewicht [g]</t>
  </si>
  <si>
    <t>Berechnung 20 % Weizenkleie</t>
  </si>
  <si>
    <t>Box 1</t>
  </si>
  <si>
    <t>Tag</t>
  </si>
  <si>
    <t>Datum</t>
  </si>
  <si>
    <t>Anzahl geflohene Larven</t>
  </si>
  <si>
    <t>Beobachtungen</t>
  </si>
  <si>
    <t>Box 2</t>
  </si>
  <si>
    <t>Box 3</t>
  </si>
  <si>
    <t>Einwaage Substrat soll [g]</t>
  </si>
  <si>
    <t>Einwaaage Weizenkleie soll [g]</t>
  </si>
  <si>
    <t>Einwaage Substrat ist [g]</t>
  </si>
  <si>
    <t>Einwaaage Weizenkleie ist [g]</t>
  </si>
  <si>
    <t>Gewicht 25 Larven [mg]</t>
  </si>
  <si>
    <t>individuelles Gewicht [mg]</t>
  </si>
  <si>
    <t>Einwaage Weizenkleie soll [g]</t>
  </si>
  <si>
    <t>Einwaage Weizenkleie ist [g]</t>
  </si>
  <si>
    <t>Mittelwert</t>
  </si>
  <si>
    <t>Eiwaage [g]</t>
  </si>
  <si>
    <t>PigSLK soll Box 1 [g]</t>
  </si>
  <si>
    <t>PigSLK soll Box 2 [g]</t>
  </si>
  <si>
    <t>PigSLK soll Box 3 [g]</t>
  </si>
  <si>
    <t>PigSLK ist Box 1 [g]</t>
  </si>
  <si>
    <t>PigSLK ist Box 2 [g]</t>
  </si>
  <si>
    <t>PigSLK ist Box 3 [g]</t>
  </si>
  <si>
    <t>Gesamtmenge Box 1 [g]</t>
  </si>
  <si>
    <t>Gesamtmenge Box 2 [g]</t>
  </si>
  <si>
    <t>Gesamtmenge Box 3 [g]</t>
  </si>
  <si>
    <t>Trockenmasse pro 855 Tiere [g]</t>
  </si>
  <si>
    <t>Wassergehalt pro 855 Tiere [g]</t>
  </si>
  <si>
    <r>
      <t>855 Tiere (6 Larven/cm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</si>
  <si>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Anzahl Larven an Tag 10</t>
  </si>
  <si>
    <t>Weizenkleie soll Box 1 [g]</t>
  </si>
  <si>
    <t>Weizenkleie soll Box 2 [g]</t>
  </si>
  <si>
    <t>Weizenkleie soll Box 3 [g]</t>
  </si>
  <si>
    <t>Weizenkleie ist Box 1 [g]</t>
  </si>
  <si>
    <t>Weizenkleie ist Box 2 [g]</t>
  </si>
  <si>
    <t>Weizenkleie ist Box 3 [g]</t>
  </si>
  <si>
    <r>
      <t>Berechnung neue Fütterungsmenge Substrat</t>
    </r>
    <r>
      <rPr>
        <b/>
        <u/>
        <sz val="11"/>
        <color rgb="FF000000"/>
        <rFont val="Calibri"/>
        <family val="2"/>
      </rPr>
      <t xml:space="preserve"> abzüglich</t>
    </r>
    <r>
      <rPr>
        <b/>
        <sz val="11"/>
        <color rgb="FF000000"/>
        <rFont val="Calibri"/>
        <family val="2"/>
      </rPr>
      <t xml:space="preserve"> 20 % Weizenkleie</t>
    </r>
  </si>
  <si>
    <t>Frass (feucht) ist Box 1 [g]</t>
  </si>
  <si>
    <t>Frass (feucht) ist Box 2 [g]</t>
  </si>
  <si>
    <t>Frass (feucht) ist Box 3 [g]</t>
  </si>
  <si>
    <t>Einwaage [g]</t>
  </si>
  <si>
    <t>Frass Box 1 Replikat 1 [%]</t>
  </si>
  <si>
    <t>Frass Box 1 Replikat 2 [%]</t>
  </si>
  <si>
    <t>Frass Box 1 Replikat 3 [%]</t>
  </si>
  <si>
    <t>Frass Box 2 Replikat 1 [%]</t>
  </si>
  <si>
    <t>Frass Box 2 Replikat 2 [%]</t>
  </si>
  <si>
    <t>Frass Box 2 Replikat 3 [%]</t>
  </si>
  <si>
    <t>Frass Box 3 Replikat 1 [%]</t>
  </si>
  <si>
    <t>Frass Box 3 Replikat 2 [%]</t>
  </si>
  <si>
    <t>Frass Box 3 Replikat 3 [%]</t>
  </si>
  <si>
    <t>Frass (trocken) ist Box 1 [g]</t>
  </si>
  <si>
    <t>Frass (trocken) ist Box 2 [g]</t>
  </si>
  <si>
    <t>Frass (trocken) ist Box 3 [g]</t>
  </si>
  <si>
    <t>Frass [g]</t>
  </si>
  <si>
    <t>Larven geerntet (feucht) Box 1 [g]</t>
  </si>
  <si>
    <t>Larven geerntet (feucht) Box 2 [g]</t>
  </si>
  <si>
    <t>Larven geerntet (feucht) Box 3 [g]</t>
  </si>
  <si>
    <t>Larven geerntet Box 1 Replikat 1 [%]</t>
  </si>
  <si>
    <t>Larven geerntet Box 1 Replikat 2 [%]</t>
  </si>
  <si>
    <t>Larven geerntet Box 1 Replikat 3 [%]</t>
  </si>
  <si>
    <t>Larven geerntet Box 2 Replikat 1 [%]</t>
  </si>
  <si>
    <t>Larven geerntet Box 2 Replikat 2 [%]</t>
  </si>
  <si>
    <t>Larven geerntet Box 2 Replikat 3 [%]</t>
  </si>
  <si>
    <t>Larven geerntet Box 3 Replikat 1 [%]</t>
  </si>
  <si>
    <t>Larven geerntet Box 3 Replikat 2 [%]</t>
  </si>
  <si>
    <t>Larven geerntet Box 3 Replikat 3 [%]</t>
  </si>
  <si>
    <t>Larven geerntet (trocken) Box 1 [g]</t>
  </si>
  <si>
    <t>Larven geerntet (trocken) Box 2 [g]</t>
  </si>
  <si>
    <t>Larven geerntet (trocken) Box 3 [g]</t>
  </si>
  <si>
    <t>Hier muss noch das eingesetzte Gewicht subtrahiert werden!</t>
  </si>
  <si>
    <t>Initiales Larvengewicht (feucht) Box 1 [g]</t>
  </si>
  <si>
    <t>Initiales Larvengewicht (feucht) Box 2 [g]</t>
  </si>
  <si>
    <t>Initiales Larvengewicht (feucht) Box 3 [g]</t>
  </si>
  <si>
    <t>Trockensubstanz Junglarven [%]</t>
  </si>
  <si>
    <t>Initiales Larvengewicht (trocken) Box 1 [g]</t>
  </si>
  <si>
    <t>Initiales Larvengewicht (trocken) Box 2 [g]</t>
  </si>
  <si>
    <t>Initiales Larvengewicht (trocken) Box 3 [g]</t>
  </si>
  <si>
    <t>Larven geerntet-initial (trocken) Box 1 [g]</t>
  </si>
  <si>
    <t>Larven geerntet-initial (trocken) Box 2 [g]</t>
  </si>
  <si>
    <t>Larven geerntet-initial (trocken) Box 3 [g]</t>
  </si>
  <si>
    <t>g/Tier</t>
  </si>
  <si>
    <t>g/855 Tiere</t>
  </si>
  <si>
    <t>Einwaage Larven</t>
  </si>
  <si>
    <t>Einwaage Larven soll</t>
  </si>
  <si>
    <t>Larven Einwaage ist</t>
  </si>
  <si>
    <t>Larven soll Box 1 [g]</t>
  </si>
  <si>
    <t>Larven soll Box 2 [g]</t>
  </si>
  <si>
    <t>Larven soll Box 3 [g]</t>
  </si>
  <si>
    <t>Larven ist Box 1 [g]</t>
  </si>
  <si>
    <t>Larven ist Box 2 [g]</t>
  </si>
  <si>
    <t>Larven ist Box 3 [g]</t>
  </si>
  <si>
    <t>Gewicht von 200x</t>
  </si>
  <si>
    <t>Angaben für Berechnungen</t>
  </si>
  <si>
    <t>Junglarven Gewicht</t>
  </si>
  <si>
    <t xml:space="preserve">Junglarven TS </t>
  </si>
  <si>
    <t>Initiales Larvengewicht 855x</t>
  </si>
  <si>
    <t>Endgewicht Larvenernte</t>
  </si>
  <si>
    <t>Tiere pro Tag gezählt</t>
  </si>
  <si>
    <t>Gesamtmenge</t>
  </si>
  <si>
    <t>FCR</t>
  </si>
  <si>
    <t>Futter pro Tier in g</t>
  </si>
  <si>
    <t xml:space="preserve">Futter pro Tier in g </t>
  </si>
  <si>
    <t>Überlebensrate [%]</t>
  </si>
  <si>
    <t>Larven ist Box 1 [Anzahl]</t>
  </si>
  <si>
    <t>Larven ist Box 2 [Anzahl]</t>
  </si>
  <si>
    <t>Larven ist Box 3 [Anzahl]</t>
  </si>
  <si>
    <t>Gesamtmenge TS Box 1 [g]</t>
  </si>
  <si>
    <t>Gesamtmenge TS Box 2 [g]</t>
  </si>
  <si>
    <t>Gesamtmenge TS Box 3 [g]</t>
  </si>
  <si>
    <t>Anzahl</t>
  </si>
  <si>
    <t>Einzelgewicht Larve [g]</t>
  </si>
  <si>
    <t xml:space="preserve">Larven im Frass </t>
  </si>
  <si>
    <t>Larven im Frass</t>
  </si>
  <si>
    <t>FCR DM/DM</t>
  </si>
  <si>
    <t xml:space="preserve">Feed Conversion Rate Box 1 </t>
  </si>
  <si>
    <t xml:space="preserve">Feed Conversion Rate Box 2 </t>
  </si>
  <si>
    <t>Feed Conversion Rate Box 3</t>
  </si>
  <si>
    <t>Überlebensrate Box 1 [%]</t>
  </si>
  <si>
    <t>Überlebensrate Box 2 [%]</t>
  </si>
  <si>
    <t>Überlebensrate Box 3 [%]</t>
  </si>
  <si>
    <t>Substratreduction [%]</t>
  </si>
  <si>
    <t>Substratreduction Box 1 [%]</t>
  </si>
  <si>
    <t>Substratreduction Box 2 [%]</t>
  </si>
  <si>
    <t>Substratreduction Box 3 [%]</t>
  </si>
  <si>
    <t xml:space="preserve">Waste reduction index </t>
  </si>
  <si>
    <t>Efficiency of conversion of the ingested feed</t>
  </si>
  <si>
    <t>Efficiency of conversion of the ingested feed Box 1</t>
  </si>
  <si>
    <t>Efficiency of conversion of the ingested feed Box 2</t>
  </si>
  <si>
    <t>Efficiency of conversion of the ingested feed Box 3</t>
  </si>
  <si>
    <t>Larval growth rate</t>
  </si>
  <si>
    <t>Larval growth rate Box 1 [g/d]</t>
  </si>
  <si>
    <t>Larval growth rate Box 2 [g/d]</t>
  </si>
  <si>
    <t>Larval growth rate Box 3 [g/d]</t>
  </si>
  <si>
    <t>Larven geerntet Einzelgewicht Box 1 [g]</t>
  </si>
  <si>
    <t>Larven geerntet Einzelgewicht Box 2 [g]</t>
  </si>
  <si>
    <t>Larven geerntet Einzelgewicht Box  [g]</t>
  </si>
  <si>
    <t>Wachstumskurven</t>
  </si>
  <si>
    <t>25 mg</t>
  </si>
  <si>
    <t xml:space="preserve">Box 3 </t>
  </si>
  <si>
    <t>50 mg</t>
  </si>
  <si>
    <t>100 mg</t>
  </si>
  <si>
    <t>150 mg</t>
  </si>
  <si>
    <t>200 mg</t>
  </si>
  <si>
    <t>Versuch</t>
  </si>
  <si>
    <t>STABWN</t>
  </si>
  <si>
    <t xml:space="preserve">25mg </t>
  </si>
  <si>
    <t xml:space="preserve">50 mg </t>
  </si>
  <si>
    <t xml:space="preserve">100 mg </t>
  </si>
  <si>
    <t xml:space="preserve">150 mg </t>
  </si>
  <si>
    <t>Larval growth rate [g/d]</t>
  </si>
  <si>
    <t>Substratreduction</t>
  </si>
  <si>
    <t>ECI</t>
  </si>
  <si>
    <t xml:space="preserve">WIR </t>
  </si>
  <si>
    <t>25mg</t>
  </si>
  <si>
    <t>50mg</t>
  </si>
  <si>
    <t>100mg</t>
  </si>
  <si>
    <t>150mg</t>
  </si>
  <si>
    <t>200mg</t>
  </si>
  <si>
    <t>Yield [g]</t>
  </si>
  <si>
    <t>norm. Yield</t>
  </si>
  <si>
    <t>norm. LGR</t>
  </si>
  <si>
    <t>Waste reduction index Box 1 [%/d]</t>
  </si>
  <si>
    <t>Waste reduction index Box 2 [%/d]</t>
  </si>
  <si>
    <t>Waste reduction index Box 3 [%/d]</t>
  </si>
  <si>
    <t>Yield</t>
  </si>
  <si>
    <t>Yield Box 1 [g]</t>
  </si>
  <si>
    <t>Yield Box 2 [g]</t>
  </si>
  <si>
    <t>Yield Box 3 [g]</t>
  </si>
  <si>
    <t>LFW</t>
  </si>
  <si>
    <t>Larval final weight Box 1 [mg/Larve]</t>
  </si>
  <si>
    <t>Larval final weight Box 2 [mg/Larve]</t>
  </si>
  <si>
    <t>Larval final weight Box 3 [mg/Larve]</t>
  </si>
  <si>
    <t xml:space="preserve">normalizied Yield Box 1 [mg/Larve] </t>
  </si>
  <si>
    <t xml:space="preserve">normalizied Yield Box 2 [mg/Larve] </t>
  </si>
  <si>
    <t xml:space="preserve">normalizied Yield Box 3 [mg/Larve] </t>
  </si>
  <si>
    <t>normalizied Larval growth rate Box 1 [mg/d/Larve]</t>
  </si>
  <si>
    <t>normalizied Larval growth rate Box 2 [mg/d/Larve]</t>
  </si>
  <si>
    <t>normalizied Larval growth rate Box 3 [mg/d/Larve]</t>
  </si>
  <si>
    <t>Waste reduction index [%/d]</t>
  </si>
  <si>
    <t>Larval final weight [mg/Larve]</t>
  </si>
  <si>
    <t>Larval final weight</t>
  </si>
  <si>
    <t>normalizied Yield [mg/Tier]</t>
  </si>
  <si>
    <t xml:space="preserve">normalizied Larval growth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</si>
</sst>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d/m;@"/>
    <numFmt numFmtId="167" formatCode="0.00000"/>
    <numFmt numFmtId="168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family val="2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89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2" fillId="0" borderId="0" xfId="0" applyFont="1"/>
    <xf numFmtId="0" fontId="2" fillId="5" borderId="0" xfId="0" applyFont="1" applyFill="1"/>
    <xf numFmtId="0" fontId="1" fillId="0" borderId="0" xfId="0" applyFont="1"/>
    <xf numFmtId="2" fontId="2" fillId="5" borderId="0" xfId="0" applyNumberFormat="1" applyFont="1" applyFill="1"/>
    <xf numFmtId="0" fontId="2" fillId="0" borderId="0" xfId="0" applyFont="1" applyFill="1" applyBorder="1"/>
    <xf numFmtId="2" fontId="2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5" borderId="8" xfId="0" applyFont="1" applyFill="1" applyBorder="1"/>
    <xf numFmtId="0" fontId="2" fillId="5" borderId="0" xfId="0" applyFont="1" applyFill="1" applyBorder="1"/>
    <xf numFmtId="0" fontId="2" fillId="5" borderId="9" xfId="0" applyFont="1" applyFill="1" applyBorder="1"/>
    <xf numFmtId="164" fontId="2" fillId="5" borderId="0" xfId="0" applyNumberFormat="1" applyFont="1" applyFill="1" applyBorder="1"/>
    <xf numFmtId="164" fontId="2" fillId="5" borderId="9" xfId="0" applyNumberFormat="1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164" fontId="2" fillId="2" borderId="0" xfId="0" applyNumberFormat="1" applyFont="1" applyFill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165" fontId="0" fillId="2" borderId="0" xfId="0" applyNumberFormat="1" applyFill="1" applyBorder="1"/>
    <xf numFmtId="0" fontId="2" fillId="5" borderId="8" xfId="0" applyFon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2" fillId="5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4" xfId="0" applyFont="1" applyFill="1" applyBorder="1" applyAlignment="1">
      <alignment horizontal="left"/>
    </xf>
    <xf numFmtId="0" fontId="2" fillId="0" borderId="16" xfId="0" applyFont="1" applyFill="1" applyBorder="1"/>
    <xf numFmtId="0" fontId="2" fillId="0" borderId="18" xfId="0" applyFont="1" applyFill="1" applyBorder="1"/>
    <xf numFmtId="0" fontId="2" fillId="0" borderId="14" xfId="0" applyFont="1" applyFill="1" applyBorder="1"/>
    <xf numFmtId="164" fontId="3" fillId="2" borderId="9" xfId="0" applyNumberFormat="1" applyFont="1" applyFill="1" applyBorder="1"/>
    <xf numFmtId="164" fontId="1" fillId="2" borderId="9" xfId="0" applyNumberFormat="1" applyFont="1" applyFill="1" applyBorder="1"/>
    <xf numFmtId="164" fontId="1" fillId="2" borderId="0" xfId="0" applyNumberFormat="1" applyFont="1" applyFill="1" applyBorder="1"/>
    <xf numFmtId="164" fontId="1" fillId="2" borderId="11" xfId="0" applyNumberFormat="1" applyFont="1" applyFill="1" applyBorder="1"/>
    <xf numFmtId="0" fontId="6" fillId="0" borderId="0" xfId="0" applyFont="1"/>
    <xf numFmtId="0" fontId="2" fillId="0" borderId="14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2" fontId="2" fillId="0" borderId="14" xfId="0" applyNumberFormat="1" applyFont="1" applyFill="1" applyBorder="1"/>
    <xf numFmtId="2" fontId="2" fillId="0" borderId="16" xfId="0" applyNumberFormat="1" applyFont="1" applyFill="1" applyBorder="1"/>
    <xf numFmtId="2" fontId="2" fillId="0" borderId="18" xfId="0" applyNumberFormat="1" applyFont="1" applyFill="1" applyBorder="1"/>
    <xf numFmtId="14" fontId="0" fillId="2" borderId="0" xfId="0" applyNumberFormat="1" applyFill="1"/>
    <xf numFmtId="0" fontId="0" fillId="0" borderId="13" xfId="0" applyFont="1" applyBorder="1"/>
    <xf numFmtId="0" fontId="0" fillId="0" borderId="0" xfId="0" applyFont="1" applyBorder="1"/>
    <xf numFmtId="0" fontId="0" fillId="0" borderId="3" xfId="0" applyFont="1" applyBorder="1"/>
    <xf numFmtId="0" fontId="1" fillId="8" borderId="4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164" fontId="0" fillId="0" borderId="0" xfId="0" applyNumberFormat="1"/>
    <xf numFmtId="0" fontId="0" fillId="0" borderId="0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0" fillId="2" borderId="0" xfId="0" applyFont="1" applyFill="1" applyBorder="1"/>
    <xf numFmtId="164" fontId="9" fillId="2" borderId="0" xfId="0" applyNumberFormat="1" applyFont="1" applyFill="1" applyBorder="1" applyAlignment="1">
      <alignment vertical="center"/>
    </xf>
    <xf numFmtId="165" fontId="0" fillId="2" borderId="0" xfId="0" applyNumberFormat="1" applyFill="1"/>
    <xf numFmtId="0" fontId="2" fillId="2" borderId="0" xfId="0" applyFont="1" applyFill="1"/>
    <xf numFmtId="9" fontId="7" fillId="2" borderId="0" xfId="1" applyFont="1" applyFill="1" applyBorder="1" applyAlignment="1">
      <alignment vertical="center"/>
    </xf>
    <xf numFmtId="0" fontId="10" fillId="0" borderId="14" xfId="0" applyFont="1" applyBorder="1"/>
    <xf numFmtId="0" fontId="10" fillId="0" borderId="16" xfId="0" applyFont="1" applyBorder="1"/>
    <xf numFmtId="0" fontId="10" fillId="0" borderId="16" xfId="0" applyFont="1" applyFill="1" applyBorder="1"/>
    <xf numFmtId="0" fontId="10" fillId="0" borderId="17" xfId="0" applyFont="1" applyBorder="1"/>
    <xf numFmtId="0" fontId="10" fillId="0" borderId="19" xfId="0" applyFont="1" applyBorder="1"/>
    <xf numFmtId="164" fontId="11" fillId="2" borderId="15" xfId="0" applyNumberFormat="1" applyFont="1" applyFill="1" applyBorder="1"/>
    <xf numFmtId="164" fontId="10" fillId="2" borderId="17" xfId="0" applyNumberFormat="1" applyFont="1" applyFill="1" applyBorder="1"/>
    <xf numFmtId="0" fontId="10" fillId="2" borderId="17" xfId="0" applyFont="1" applyFill="1" applyBorder="1"/>
    <xf numFmtId="0" fontId="10" fillId="0" borderId="18" xfId="0" applyFont="1" applyFill="1" applyBorder="1"/>
    <xf numFmtId="0" fontId="10" fillId="0" borderId="0" xfId="0" applyFont="1" applyFill="1" applyBorder="1"/>
    <xf numFmtId="1" fontId="0" fillId="0" borderId="13" xfId="0" applyNumberFormat="1" applyFont="1" applyBorder="1"/>
    <xf numFmtId="1" fontId="0" fillId="0" borderId="0" xfId="0" applyNumberFormat="1" applyFont="1" applyBorder="1"/>
    <xf numFmtId="1" fontId="0" fillId="0" borderId="3" xfId="0" applyNumberFormat="1" applyFont="1" applyBorder="1"/>
    <xf numFmtId="2" fontId="0" fillId="0" borderId="13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1" fillId="0" borderId="0" xfId="0" applyFont="1" applyBorder="1" applyAlignment="1">
      <alignment vertical="center"/>
    </xf>
    <xf numFmtId="165" fontId="0" fillId="0" borderId="0" xfId="0" applyNumberFormat="1"/>
    <xf numFmtId="2" fontId="0" fillId="0" borderId="0" xfId="0" applyNumberFormat="1"/>
    <xf numFmtId="0" fontId="0" fillId="0" borderId="14" xfId="0" applyFont="1" applyBorder="1"/>
    <xf numFmtId="0" fontId="0" fillId="0" borderId="0" xfId="0"/>
    <xf numFmtId="0" fontId="0" fillId="0" borderId="16" xfId="0" applyFont="1" applyBorder="1"/>
    <xf numFmtId="0" fontId="0" fillId="0" borderId="18" xfId="0" applyFont="1" applyBorder="1"/>
    <xf numFmtId="0" fontId="10" fillId="0" borderId="0" xfId="0" applyFont="1"/>
    <xf numFmtId="2" fontId="10" fillId="0" borderId="0" xfId="0" applyNumberFormat="1" applyFont="1"/>
    <xf numFmtId="2" fontId="11" fillId="0" borderId="14" xfId="0" applyNumberFormat="1" applyFont="1" applyFill="1" applyBorder="1"/>
    <xf numFmtId="2" fontId="10" fillId="0" borderId="13" xfId="0" applyNumberFormat="1" applyFont="1" applyBorder="1"/>
    <xf numFmtId="2" fontId="11" fillId="0" borderId="16" xfId="0" applyNumberFormat="1" applyFont="1" applyFill="1" applyBorder="1"/>
    <xf numFmtId="2" fontId="10" fillId="0" borderId="0" xfId="0" applyNumberFormat="1" applyFont="1" applyBorder="1"/>
    <xf numFmtId="2" fontId="11" fillId="0" borderId="18" xfId="0" applyNumberFormat="1" applyFont="1" applyFill="1" applyBorder="1"/>
    <xf numFmtId="2" fontId="10" fillId="0" borderId="3" xfId="0" applyNumberFormat="1" applyFont="1" applyBorder="1"/>
    <xf numFmtId="2" fontId="11" fillId="0" borderId="0" xfId="0" applyNumberFormat="1" applyFont="1" applyFill="1" applyBorder="1"/>
    <xf numFmtId="1" fontId="6" fillId="0" borderId="0" xfId="0" applyNumberFormat="1" applyFont="1" applyBorder="1" applyAlignment="1">
      <alignment vertical="center"/>
    </xf>
    <xf numFmtId="1" fontId="6" fillId="0" borderId="0" xfId="0" applyNumberFormat="1" applyFont="1" applyBorder="1"/>
    <xf numFmtId="1" fontId="11" fillId="0" borderId="0" xfId="0" applyNumberFormat="1" applyFont="1" applyFill="1" applyBorder="1"/>
    <xf numFmtId="0" fontId="0" fillId="0" borderId="0" xfId="0" applyAlignment="1"/>
    <xf numFmtId="0" fontId="0" fillId="0" borderId="17" xfId="0" applyBorder="1" applyAlignment="1"/>
    <xf numFmtId="0" fontId="0" fillId="0" borderId="0" xfId="0" applyAlignment="1">
      <alignment wrapText="1"/>
    </xf>
    <xf numFmtId="0" fontId="14" fillId="0" borderId="0" xfId="0" applyFont="1"/>
    <xf numFmtId="0" fontId="0" fillId="0" borderId="22" xfId="0" applyBorder="1"/>
    <xf numFmtId="0" fontId="0" fillId="0" borderId="6" xfId="0" applyBorder="1"/>
    <xf numFmtId="0" fontId="0" fillId="0" borderId="7" xfId="0" applyBorder="1"/>
    <xf numFmtId="0" fontId="0" fillId="0" borderId="23" xfId="0" applyBorder="1"/>
    <xf numFmtId="2" fontId="0" fillId="0" borderId="8" xfId="0" applyNumberFormat="1" applyBorder="1"/>
    <xf numFmtId="2" fontId="0" fillId="0" borderId="9" xfId="0" applyNumberFormat="1" applyBorder="1"/>
    <xf numFmtId="0" fontId="0" fillId="0" borderId="24" xfId="0" applyBorder="1"/>
    <xf numFmtId="2" fontId="0" fillId="0" borderId="10" xfId="0" applyNumberFormat="1" applyBorder="1"/>
    <xf numFmtId="2" fontId="0" fillId="0" borderId="12" xfId="0" applyNumberFormat="1" applyBorder="1"/>
    <xf numFmtId="0" fontId="0" fillId="0" borderId="5" xfId="0" applyBorder="1"/>
    <xf numFmtId="0" fontId="0" fillId="0" borderId="10" xfId="0" applyBorder="1"/>
    <xf numFmtId="2" fontId="0" fillId="0" borderId="11" xfId="0" applyNumberFormat="1" applyBorder="1"/>
    <xf numFmtId="2" fontId="11" fillId="0" borderId="21" xfId="0" applyNumberFormat="1" applyFont="1" applyFill="1" applyBorder="1"/>
    <xf numFmtId="2" fontId="0" fillId="0" borderId="5" xfId="0" applyNumberFormat="1" applyBorder="1"/>
    <xf numFmtId="166" fontId="0" fillId="0" borderId="0" xfId="0" applyNumberFormat="1"/>
    <xf numFmtId="166" fontId="0" fillId="2" borderId="0" xfId="0" applyNumberFormat="1" applyFill="1"/>
    <xf numFmtId="2" fontId="10" fillId="0" borderId="0" xfId="0" applyNumberFormat="1" applyFont="1" applyFill="1" applyBorder="1"/>
    <xf numFmtId="0" fontId="0" fillId="0" borderId="0" xfId="0" applyAlignment="1">
      <alignment vertical="top"/>
    </xf>
    <xf numFmtId="2" fontId="12" fillId="0" borderId="0" xfId="0" applyNumberFormat="1" applyFont="1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/>
    <xf numFmtId="2" fontId="10" fillId="0" borderId="0" xfId="0" applyNumberFormat="1" applyFont="1" applyBorder="1" applyAlignment="1"/>
    <xf numFmtId="2" fontId="11" fillId="0" borderId="0" xfId="0" applyNumberFormat="1" applyFont="1" applyFill="1" applyBorder="1" applyAlignment="1"/>
    <xf numFmtId="2" fontId="13" fillId="0" borderId="0" xfId="0" applyNumberFormat="1" applyFont="1" applyBorder="1" applyAlignment="1">
      <alignment vertical="center"/>
    </xf>
    <xf numFmtId="2" fontId="17" fillId="0" borderId="0" xfId="0" applyNumberFormat="1" applyFont="1" applyFill="1" applyBorder="1"/>
    <xf numFmtId="168" fontId="6" fillId="0" borderId="0" xfId="0" applyNumberFormat="1" applyFont="1" applyBorder="1" applyAlignment="1">
      <alignment vertical="center"/>
    </xf>
    <xf numFmtId="168" fontId="6" fillId="0" borderId="0" xfId="0" applyNumberFormat="1" applyFont="1" applyBorder="1"/>
    <xf numFmtId="0" fontId="12" fillId="0" borderId="0" xfId="0" applyFont="1"/>
    <xf numFmtId="2" fontId="0" fillId="0" borderId="15" xfId="0" applyNumberFormat="1" applyBorder="1"/>
    <xf numFmtId="2" fontId="0" fillId="0" borderId="17" xfId="0" applyNumberFormat="1" applyBorder="1"/>
    <xf numFmtId="2" fontId="0" fillId="0" borderId="19" xfId="0" applyNumberFormat="1" applyBorder="1"/>
    <xf numFmtId="0" fontId="1" fillId="3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2" fontId="13" fillId="0" borderId="13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2" fontId="13" fillId="0" borderId="15" xfId="0" applyNumberFormat="1" applyFont="1" applyBorder="1" applyAlignment="1">
      <alignment horizontal="center" vertical="center"/>
    </xf>
    <xf numFmtId="2" fontId="13" fillId="0" borderId="17" xfId="0" applyNumberFormat="1" applyFont="1" applyBorder="1" applyAlignment="1">
      <alignment horizontal="center" vertical="center"/>
    </xf>
    <xf numFmtId="2" fontId="13" fillId="0" borderId="19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 vertical="center"/>
    </xf>
    <xf numFmtId="167" fontId="1" fillId="0" borderId="3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Wachstumskurven Lab Scale</a:t>
            </a:r>
          </a:p>
        </c:rich>
      </c:tx>
      <c:layout>
        <c:manualLayout>
          <c:xMode val="edge"/>
          <c:yMode val="edge"/>
          <c:x val="0.41688175267891042"/>
          <c:y val="3.0851684204052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590316672600924"/>
          <c:y val="0.12049609201345404"/>
          <c:w val="0.8629570916332896"/>
          <c:h val="0.7483314455375716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Wachstumskurven!$A$3</c:f>
              <c:strCache>
                <c:ptCount val="1"/>
                <c:pt idx="0">
                  <c:v>25 mg</c:v>
                </c:pt>
              </c:strCache>
            </c:strRef>
          </c:tx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chemeClr val="accent6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Wachstumskurven!$G$5:$G$15</c:f>
                <c:numCache>
                  <c:formatCode>General</c:formatCode>
                  <c:ptCount val="11"/>
                  <c:pt idx="0">
                    <c:v>1.9500973100039501E-3</c:v>
                  </c:pt>
                  <c:pt idx="1">
                    <c:v>2.5368396787253857E-2</c:v>
                  </c:pt>
                  <c:pt idx="2">
                    <c:v>0.17844762692609642</c:v>
                  </c:pt>
                  <c:pt idx="3">
                    <c:v>0.81348850978705023</c:v>
                  </c:pt>
                  <c:pt idx="4">
                    <c:v>1.6929227848769484</c:v>
                  </c:pt>
                  <c:pt idx="5">
                    <c:v>0.66275385073695892</c:v>
                  </c:pt>
                  <c:pt idx="6">
                    <c:v>1.2796541199350218</c:v>
                  </c:pt>
                  <c:pt idx="7">
                    <c:v>0.94525904738683697</c:v>
                  </c:pt>
                  <c:pt idx="8">
                    <c:v>1.8642527248799214</c:v>
                  </c:pt>
                  <c:pt idx="9">
                    <c:v>1.3635144134022044</c:v>
                  </c:pt>
                  <c:pt idx="10">
                    <c:v>0.59387175174225193</c:v>
                  </c:pt>
                </c:numCache>
              </c:numRef>
            </c:plus>
            <c:minus>
              <c:numRef>
                <c:f>Wachstumskurven!$G$5:$G$14</c:f>
                <c:numCache>
                  <c:formatCode>General</c:formatCode>
                  <c:ptCount val="10"/>
                  <c:pt idx="0">
                    <c:v>1.9500973100039501E-3</c:v>
                  </c:pt>
                  <c:pt idx="1">
                    <c:v>2.5368396787253857E-2</c:v>
                  </c:pt>
                  <c:pt idx="2">
                    <c:v>0.17844762692609642</c:v>
                  </c:pt>
                  <c:pt idx="3">
                    <c:v>0.81348850978705023</c:v>
                  </c:pt>
                  <c:pt idx="4">
                    <c:v>1.6929227848769484</c:v>
                  </c:pt>
                  <c:pt idx="5">
                    <c:v>0.66275385073695892</c:v>
                  </c:pt>
                  <c:pt idx="6">
                    <c:v>1.2796541199350218</c:v>
                  </c:pt>
                  <c:pt idx="7">
                    <c:v>0.94525904738683697</c:v>
                  </c:pt>
                  <c:pt idx="8">
                    <c:v>1.8642527248799214</c:v>
                  </c:pt>
                  <c:pt idx="9">
                    <c:v>1.3635144134022044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Wachstumskurven!$A$5:$A$15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Wachstumskurven!$F$5:$F$15</c:f>
              <c:numCache>
                <c:formatCode>0.00</c:formatCode>
                <c:ptCount val="11"/>
                <c:pt idx="0">
                  <c:v>6.1127485380116964</c:v>
                </c:pt>
                <c:pt idx="1">
                  <c:v>7.0493333333333332</c:v>
                </c:pt>
                <c:pt idx="2">
                  <c:v>9.5853333333333328</c:v>
                </c:pt>
                <c:pt idx="3">
                  <c:v>10.786666666666667</c:v>
                </c:pt>
                <c:pt idx="4">
                  <c:v>11.493333333333334</c:v>
                </c:pt>
                <c:pt idx="5">
                  <c:v>11.484</c:v>
                </c:pt>
                <c:pt idx="6">
                  <c:v>12.311999999999999</c:v>
                </c:pt>
                <c:pt idx="7">
                  <c:v>17.475999999999999</c:v>
                </c:pt>
                <c:pt idx="8">
                  <c:v>14.990666666666668</c:v>
                </c:pt>
                <c:pt idx="9">
                  <c:v>14.573333333333332</c:v>
                </c:pt>
                <c:pt idx="10">
                  <c:v>9.9721933184950569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22B-4D5B-981A-6299D03A931A}"/>
            </c:ext>
          </c:extLst>
        </c:ser>
        <c:ser>
          <c:idx val="1"/>
          <c:order val="1"/>
          <c:tx>
            <c:strRef>
              <c:f>Wachstumskurven!$A$17</c:f>
              <c:strCache>
                <c:ptCount val="1"/>
                <c:pt idx="0">
                  <c:v>50 mg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Wachstumskurven!$G$19:$G$29</c:f>
                <c:numCache>
                  <c:formatCode>General</c:formatCode>
                  <c:ptCount val="11"/>
                  <c:pt idx="0">
                    <c:v>9.9701456939906593E-4</c:v>
                  </c:pt>
                  <c:pt idx="1">
                    <c:v>0.57496511971500386</c:v>
                  </c:pt>
                  <c:pt idx="2">
                    <c:v>0.97057691892789033</c:v>
                  </c:pt>
                  <c:pt idx="3">
                    <c:v>1.1399555546891578</c:v>
                  </c:pt>
                  <c:pt idx="4">
                    <c:v>0.58641509757736099</c:v>
                  </c:pt>
                  <c:pt idx="5">
                    <c:v>0.77460355451460872</c:v>
                  </c:pt>
                  <c:pt idx="6">
                    <c:v>2.5683945698951116</c:v>
                  </c:pt>
                  <c:pt idx="7">
                    <c:v>0.82204514609735824</c:v>
                  </c:pt>
                  <c:pt idx="8">
                    <c:v>1.3066408160708221</c:v>
                  </c:pt>
                  <c:pt idx="9">
                    <c:v>5.4532312948888944</c:v>
                  </c:pt>
                  <c:pt idx="10">
                    <c:v>0.29029152158405441</c:v>
                  </c:pt>
                </c:numCache>
              </c:numRef>
            </c:plus>
            <c:minus>
              <c:numRef>
                <c:f>Wachstumskurven!$G$19:$G$29</c:f>
                <c:numCache>
                  <c:formatCode>General</c:formatCode>
                  <c:ptCount val="11"/>
                  <c:pt idx="0">
                    <c:v>9.9701456939906593E-4</c:v>
                  </c:pt>
                  <c:pt idx="1">
                    <c:v>0.57496511971500386</c:v>
                  </c:pt>
                  <c:pt idx="2">
                    <c:v>0.97057691892789033</c:v>
                  </c:pt>
                  <c:pt idx="3">
                    <c:v>1.1399555546891578</c:v>
                  </c:pt>
                  <c:pt idx="4">
                    <c:v>0.58641509757736099</c:v>
                  </c:pt>
                  <c:pt idx="5">
                    <c:v>0.77460355451460872</c:v>
                  </c:pt>
                  <c:pt idx="6">
                    <c:v>2.5683945698951116</c:v>
                  </c:pt>
                  <c:pt idx="7">
                    <c:v>0.82204514609735824</c:v>
                  </c:pt>
                  <c:pt idx="8">
                    <c:v>1.3066408160708221</c:v>
                  </c:pt>
                  <c:pt idx="9">
                    <c:v>5.4532312948888944</c:v>
                  </c:pt>
                  <c:pt idx="10">
                    <c:v>0.29029152158405441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Wachstumskurven!$A$19:$A$29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Wachstumskurven!$F$19:$F$29</c:f>
              <c:numCache>
                <c:formatCode>0.00</c:formatCode>
                <c:ptCount val="11"/>
                <c:pt idx="0">
                  <c:v>6.1153216374269013</c:v>
                </c:pt>
                <c:pt idx="1">
                  <c:v>7.5133333333333328</c:v>
                </c:pt>
                <c:pt idx="2">
                  <c:v>10.378666666666666</c:v>
                </c:pt>
                <c:pt idx="3">
                  <c:v>13.776000000000002</c:v>
                </c:pt>
                <c:pt idx="4">
                  <c:v>13.308</c:v>
                </c:pt>
                <c:pt idx="5">
                  <c:v>14.235999999999999</c:v>
                </c:pt>
                <c:pt idx="6">
                  <c:v>22.5</c:v>
                </c:pt>
                <c:pt idx="7">
                  <c:v>27.690666666666669</c:v>
                </c:pt>
                <c:pt idx="8">
                  <c:v>31.997333333333341</c:v>
                </c:pt>
                <c:pt idx="9">
                  <c:v>31.262666666666671</c:v>
                </c:pt>
                <c:pt idx="10">
                  <c:v>21.538802768349228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22B-4D5B-981A-6299D03A931A}"/>
            </c:ext>
          </c:extLst>
        </c:ser>
        <c:ser>
          <c:idx val="2"/>
          <c:order val="2"/>
          <c:tx>
            <c:strRef>
              <c:f>Wachstumskurven!$A$31</c:f>
              <c:strCache>
                <c:ptCount val="1"/>
                <c:pt idx="0">
                  <c:v>100 mg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Wachstumskurven!$G$33:$G$43</c:f>
                <c:numCache>
                  <c:formatCode>General</c:formatCode>
                  <c:ptCount val="11"/>
                  <c:pt idx="0">
                    <c:v>1.0519093616554601E-3</c:v>
                  </c:pt>
                  <c:pt idx="1">
                    <c:v>0.89161426637307717</c:v>
                  </c:pt>
                  <c:pt idx="2">
                    <c:v>0.55875416975824088</c:v>
                  </c:pt>
                  <c:pt idx="3">
                    <c:v>1.0987330077057946</c:v>
                  </c:pt>
                  <c:pt idx="4">
                    <c:v>0.82053857651883466</c:v>
                  </c:pt>
                  <c:pt idx="5">
                    <c:v>1.3878674288274095</c:v>
                  </c:pt>
                  <c:pt idx="6">
                    <c:v>4.6866554765158011</c:v>
                  </c:pt>
                  <c:pt idx="7">
                    <c:v>3.6037180799835049</c:v>
                  </c:pt>
                  <c:pt idx="8">
                    <c:v>2.2603700778609026</c:v>
                  </c:pt>
                  <c:pt idx="9">
                    <c:v>5.7127939068569775</c:v>
                  </c:pt>
                  <c:pt idx="10">
                    <c:v>5.6147868657457058</c:v>
                  </c:pt>
                </c:numCache>
              </c:numRef>
            </c:plus>
            <c:minus>
              <c:numRef>
                <c:f>Wachstumskurven!$G$33:$G$43</c:f>
                <c:numCache>
                  <c:formatCode>General</c:formatCode>
                  <c:ptCount val="11"/>
                  <c:pt idx="0">
                    <c:v>1.0519093616554601E-3</c:v>
                  </c:pt>
                  <c:pt idx="1">
                    <c:v>0.89161426637307717</c:v>
                  </c:pt>
                  <c:pt idx="2">
                    <c:v>0.55875416975824088</c:v>
                  </c:pt>
                  <c:pt idx="3">
                    <c:v>1.0987330077057946</c:v>
                  </c:pt>
                  <c:pt idx="4">
                    <c:v>0.82053857651883466</c:v>
                  </c:pt>
                  <c:pt idx="5">
                    <c:v>1.3878674288274095</c:v>
                  </c:pt>
                  <c:pt idx="6">
                    <c:v>4.6866554765158011</c:v>
                  </c:pt>
                  <c:pt idx="7">
                    <c:v>3.6037180799835049</c:v>
                  </c:pt>
                  <c:pt idx="8">
                    <c:v>2.2603700778609026</c:v>
                  </c:pt>
                  <c:pt idx="9">
                    <c:v>5.7127939068569775</c:v>
                  </c:pt>
                  <c:pt idx="10">
                    <c:v>5.6147868657457058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Wachstumskurven!$A$33:$A$43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Wachstumskurven!$F$33:$F$43</c:f>
              <c:numCache>
                <c:formatCode>0.00</c:formatCode>
                <c:ptCount val="11"/>
                <c:pt idx="0">
                  <c:v>6.1134892787524366</c:v>
                </c:pt>
                <c:pt idx="1">
                  <c:v>7.5040000000000004</c:v>
                </c:pt>
                <c:pt idx="2">
                  <c:v>9.6906666666666652</c:v>
                </c:pt>
                <c:pt idx="3">
                  <c:v>14.282666666666666</c:v>
                </c:pt>
                <c:pt idx="4">
                  <c:v>15.046666666666665</c:v>
                </c:pt>
                <c:pt idx="5">
                  <c:v>18.132000000000001</c:v>
                </c:pt>
                <c:pt idx="6">
                  <c:v>28.021333333333331</c:v>
                </c:pt>
                <c:pt idx="7">
                  <c:v>52.604000000000006</c:v>
                </c:pt>
                <c:pt idx="8">
                  <c:v>70.894666666666666</c:v>
                </c:pt>
                <c:pt idx="9">
                  <c:v>65.913333333333327</c:v>
                </c:pt>
                <c:pt idx="10">
                  <c:v>49.506308655475742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22B-4D5B-981A-6299D03A931A}"/>
            </c:ext>
          </c:extLst>
        </c:ser>
        <c:ser>
          <c:idx val="3"/>
          <c:order val="3"/>
          <c:tx>
            <c:strRef>
              <c:f>Wachstumskurven!$A$45</c:f>
              <c:strCache>
                <c:ptCount val="1"/>
                <c:pt idx="0">
                  <c:v>150 mg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38100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Wachstumskurven!$G$47:$G$57</c:f>
                <c:numCache>
                  <c:formatCode>General</c:formatCode>
                  <c:ptCount val="11"/>
                  <c:pt idx="0">
                    <c:v>1.5989159184726009E-3</c:v>
                  </c:pt>
                  <c:pt idx="1">
                    <c:v>0.46917042627268091</c:v>
                  </c:pt>
                  <c:pt idx="2">
                    <c:v>7.378045510537011E-2</c:v>
                  </c:pt>
                  <c:pt idx="3">
                    <c:v>1.5216143474028565</c:v>
                  </c:pt>
                  <c:pt idx="4">
                    <c:v>0.6094806532341015</c:v>
                  </c:pt>
                  <c:pt idx="5">
                    <c:v>0.83035092982826675</c:v>
                  </c:pt>
                  <c:pt idx="6">
                    <c:v>3.6667156360366358</c:v>
                  </c:pt>
                  <c:pt idx="7">
                    <c:v>12.135295226001762</c:v>
                  </c:pt>
                  <c:pt idx="8">
                    <c:v>9.2977269384631018</c:v>
                  </c:pt>
                  <c:pt idx="9">
                    <c:v>8.2300012690697049</c:v>
                  </c:pt>
                  <c:pt idx="10">
                    <c:v>5.4358825965376933</c:v>
                  </c:pt>
                </c:numCache>
              </c:numRef>
            </c:plus>
            <c:minus>
              <c:numRef>
                <c:f>Wachstumskurven!$G$47:$G$57</c:f>
                <c:numCache>
                  <c:formatCode>General</c:formatCode>
                  <c:ptCount val="11"/>
                  <c:pt idx="0">
                    <c:v>1.5989159184726009E-3</c:v>
                  </c:pt>
                  <c:pt idx="1">
                    <c:v>0.46917042627268091</c:v>
                  </c:pt>
                  <c:pt idx="2">
                    <c:v>7.378045510537011E-2</c:v>
                  </c:pt>
                  <c:pt idx="3">
                    <c:v>1.5216143474028565</c:v>
                  </c:pt>
                  <c:pt idx="4">
                    <c:v>0.6094806532341015</c:v>
                  </c:pt>
                  <c:pt idx="5">
                    <c:v>0.83035092982826675</c:v>
                  </c:pt>
                  <c:pt idx="6">
                    <c:v>3.6667156360366358</c:v>
                  </c:pt>
                  <c:pt idx="7">
                    <c:v>12.135295226001762</c:v>
                  </c:pt>
                  <c:pt idx="8">
                    <c:v>9.2977269384631018</c:v>
                  </c:pt>
                  <c:pt idx="9">
                    <c:v>8.2300012690697049</c:v>
                  </c:pt>
                  <c:pt idx="10">
                    <c:v>5.4358825965376933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Wachstumskurven!$A$47:$A$57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Wachstumskurven!$F$47:$F$57</c:f>
              <c:numCache>
                <c:formatCode>0.00</c:formatCode>
                <c:ptCount val="11"/>
                <c:pt idx="0">
                  <c:v>6.1135282651072131</c:v>
                </c:pt>
                <c:pt idx="1">
                  <c:v>8.1773333333333351</c:v>
                </c:pt>
                <c:pt idx="2">
                  <c:v>11.022666666666666</c:v>
                </c:pt>
                <c:pt idx="3">
                  <c:v>15.886666666666668</c:v>
                </c:pt>
                <c:pt idx="4">
                  <c:v>15.228</c:v>
                </c:pt>
                <c:pt idx="5">
                  <c:v>22.484000000000005</c:v>
                </c:pt>
                <c:pt idx="6">
                  <c:v>49.037333333333343</c:v>
                </c:pt>
                <c:pt idx="7">
                  <c:v>70.242666666666665</c:v>
                </c:pt>
                <c:pt idx="8">
                  <c:v>68.394666666666666</c:v>
                </c:pt>
                <c:pt idx="9">
                  <c:v>77.045333333333332</c:v>
                </c:pt>
                <c:pt idx="10">
                  <c:v>73.043404037236556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22B-4D5B-981A-6299D03A931A}"/>
            </c:ext>
          </c:extLst>
        </c:ser>
        <c:ser>
          <c:idx val="4"/>
          <c:order val="4"/>
          <c:tx>
            <c:strRef>
              <c:f>Wachstumskurven!$A$59</c:f>
              <c:strCache>
                <c:ptCount val="1"/>
                <c:pt idx="0">
                  <c:v>200 mg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38100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Wachstumskurven!$G$61:$G$71</c:f>
                <c:numCache>
                  <c:formatCode>General</c:formatCode>
                  <c:ptCount val="11"/>
                  <c:pt idx="0">
                    <c:v>5.8088360334289358E-4</c:v>
                  </c:pt>
                  <c:pt idx="1">
                    <c:v>0.21312489817527727</c:v>
                  </c:pt>
                  <c:pt idx="2">
                    <c:v>0.58409436071770315</c:v>
                  </c:pt>
                  <c:pt idx="3">
                    <c:v>1.0135526078546149</c:v>
                  </c:pt>
                  <c:pt idx="4">
                    <c:v>1.0474621181163959</c:v>
                  </c:pt>
                  <c:pt idx="5">
                    <c:v>0.86567943771865696</c:v>
                  </c:pt>
                  <c:pt idx="6">
                    <c:v>2.8473881989562928</c:v>
                  </c:pt>
                  <c:pt idx="7">
                    <c:v>9.9280410062721902</c:v>
                  </c:pt>
                  <c:pt idx="8">
                    <c:v>3.4336049083531197</c:v>
                  </c:pt>
                  <c:pt idx="9">
                    <c:v>11.227396967537304</c:v>
                  </c:pt>
                  <c:pt idx="10">
                    <c:v>5.0906203307131035</c:v>
                  </c:pt>
                </c:numCache>
              </c:numRef>
            </c:plus>
            <c:minus>
              <c:numRef>
                <c:f>Wachstumskurven!$G$61:$G$71</c:f>
                <c:numCache>
                  <c:formatCode>General</c:formatCode>
                  <c:ptCount val="11"/>
                  <c:pt idx="0">
                    <c:v>5.8088360334289358E-4</c:v>
                  </c:pt>
                  <c:pt idx="1">
                    <c:v>0.21312489817527727</c:v>
                  </c:pt>
                  <c:pt idx="2">
                    <c:v>0.58409436071770315</c:v>
                  </c:pt>
                  <c:pt idx="3">
                    <c:v>1.0135526078546149</c:v>
                  </c:pt>
                  <c:pt idx="4">
                    <c:v>1.0474621181163959</c:v>
                  </c:pt>
                  <c:pt idx="5">
                    <c:v>0.86567943771865696</c:v>
                  </c:pt>
                  <c:pt idx="6">
                    <c:v>2.8473881989562928</c:v>
                  </c:pt>
                  <c:pt idx="7">
                    <c:v>9.9280410062721902</c:v>
                  </c:pt>
                  <c:pt idx="8">
                    <c:v>3.4336049083531197</c:v>
                  </c:pt>
                  <c:pt idx="9">
                    <c:v>11.227396967537304</c:v>
                  </c:pt>
                  <c:pt idx="10">
                    <c:v>5.0906203307131035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Wachstumskurven!$A$61:$A$71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Wachstumskurven!$F$61:$F$71</c:f>
              <c:numCache>
                <c:formatCode>0.00</c:formatCode>
                <c:ptCount val="11"/>
                <c:pt idx="0">
                  <c:v>6.1128654970760223</c:v>
                </c:pt>
                <c:pt idx="1">
                  <c:v>6.9573333333333345</c:v>
                </c:pt>
                <c:pt idx="2">
                  <c:v>10.582666666666666</c:v>
                </c:pt>
                <c:pt idx="3">
                  <c:v>15.713333333333333</c:v>
                </c:pt>
                <c:pt idx="4">
                  <c:v>16.477333333333331</c:v>
                </c:pt>
                <c:pt idx="5">
                  <c:v>20.825333333333333</c:v>
                </c:pt>
                <c:pt idx="6">
                  <c:v>42.949333333333335</c:v>
                </c:pt>
                <c:pt idx="7">
                  <c:v>62.262666666666668</c:v>
                </c:pt>
                <c:pt idx="8">
                  <c:v>73.843999999999994</c:v>
                </c:pt>
                <c:pt idx="9">
                  <c:v>76.867999999999995</c:v>
                </c:pt>
                <c:pt idx="10">
                  <c:v>74.061140237651884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22B-4D5B-981A-6299D03A9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097312"/>
        <c:axId val="461096656"/>
      </c:scatterChart>
      <c:valAx>
        <c:axId val="461097312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Tage</a:t>
                </a:r>
              </a:p>
            </c:rich>
          </c:tx>
          <c:layout>
            <c:manualLayout>
              <c:xMode val="edge"/>
              <c:yMode val="edge"/>
              <c:x val="0.51122031737401796"/>
              <c:y val="0.94289063020414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1096656"/>
        <c:crosses val="autoZero"/>
        <c:crossBetween val="midCat"/>
        <c:majorUnit val="1"/>
      </c:valAx>
      <c:valAx>
        <c:axId val="46109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Larven</a:t>
                </a:r>
                <a:r>
                  <a:rPr lang="de-DE" baseline="0"/>
                  <a:t> Einzelgewicht [mg]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10973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20371348664750116"/>
          <c:y val="0.19265310547836667"/>
          <c:w val="8.6415268957968694E-2"/>
          <c:h val="0.236235021568054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Zusammenfassung!$C$19</c:f>
              <c:strCache>
                <c:ptCount val="1"/>
                <c:pt idx="0">
                  <c:v>Substratreduction [%]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Zusammenfassung!$D$20:$D$24</c:f>
                <c:numCache>
                  <c:formatCode>General</c:formatCode>
                  <c:ptCount val="5"/>
                  <c:pt idx="0">
                    <c:v>2.3741744399721449</c:v>
                  </c:pt>
                  <c:pt idx="1">
                    <c:v>1.8320666438267224</c:v>
                  </c:pt>
                  <c:pt idx="2">
                    <c:v>2.9541084360531249</c:v>
                  </c:pt>
                  <c:pt idx="3">
                    <c:v>4.5615075535256659</c:v>
                  </c:pt>
                  <c:pt idx="4">
                    <c:v>2.6201014888830909</c:v>
                  </c:pt>
                </c:numCache>
              </c:numRef>
            </c:plus>
            <c:minus>
              <c:numRef>
                <c:f>Zusammenfassung!$D$20:$D$24</c:f>
                <c:numCache>
                  <c:formatCode>General</c:formatCode>
                  <c:ptCount val="5"/>
                  <c:pt idx="0">
                    <c:v>2.3741744399721449</c:v>
                  </c:pt>
                  <c:pt idx="1">
                    <c:v>1.8320666438267224</c:v>
                  </c:pt>
                  <c:pt idx="2">
                    <c:v>2.9541084360531249</c:v>
                  </c:pt>
                  <c:pt idx="3">
                    <c:v>4.5615075535256659</c:v>
                  </c:pt>
                  <c:pt idx="4">
                    <c:v>2.6201014888830909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Zusammenfassung!$B$20:$B$24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Zusammenfassung!$C$20:$C$24</c:f>
              <c:numCache>
                <c:formatCode>0.00</c:formatCode>
                <c:ptCount val="5"/>
                <c:pt idx="0">
                  <c:v>34.463707968522307</c:v>
                </c:pt>
                <c:pt idx="1">
                  <c:v>33.563773943183811</c:v>
                </c:pt>
                <c:pt idx="2">
                  <c:v>39.944562256008425</c:v>
                </c:pt>
                <c:pt idx="3">
                  <c:v>43.225228769600882</c:v>
                </c:pt>
                <c:pt idx="4">
                  <c:v>41.567353213485859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7-4CAD-AD91-834691C32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Zusammenfassung!$C$12</c:f>
              <c:strCache>
                <c:ptCount val="1"/>
                <c:pt idx="0">
                  <c:v>Überlebensrate [%]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Zusammenfassung!$D$13:$D$17</c:f>
                <c:numCache>
                  <c:formatCode>General</c:formatCode>
                  <c:ptCount val="5"/>
                  <c:pt idx="0">
                    <c:v>7.1625184096848287</c:v>
                  </c:pt>
                  <c:pt idx="1">
                    <c:v>20.273260544411546</c:v>
                  </c:pt>
                  <c:pt idx="2">
                    <c:v>9.8964380614293592</c:v>
                  </c:pt>
                  <c:pt idx="3">
                    <c:v>7.3393131174771806</c:v>
                  </c:pt>
                  <c:pt idx="4">
                    <c:v>5.3308685116205403</c:v>
                  </c:pt>
                </c:numCache>
              </c:numRef>
            </c:plus>
            <c:minus>
              <c:numRef>
                <c:f>Zusammenfassung!$D$13:$D$17</c:f>
                <c:numCache>
                  <c:formatCode>General</c:formatCode>
                  <c:ptCount val="5"/>
                  <c:pt idx="0">
                    <c:v>7.1625184096848287</c:v>
                  </c:pt>
                  <c:pt idx="1">
                    <c:v>20.273260544411546</c:v>
                  </c:pt>
                  <c:pt idx="2">
                    <c:v>9.8964380614293592</c:v>
                  </c:pt>
                  <c:pt idx="3">
                    <c:v>7.3393131174771806</c:v>
                  </c:pt>
                  <c:pt idx="4">
                    <c:v>5.3308685116205403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Zusammenfassung!$B$13:$B$17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Zusammenfassung!$C$13:$C$17</c:f>
              <c:numCache>
                <c:formatCode>0.00</c:formatCode>
                <c:ptCount val="5"/>
                <c:pt idx="0">
                  <c:v>36.228626733069724</c:v>
                </c:pt>
                <c:pt idx="1">
                  <c:v>69.815680802274855</c:v>
                </c:pt>
                <c:pt idx="2">
                  <c:v>102.43802102174307</c:v>
                </c:pt>
                <c:pt idx="3">
                  <c:v>91.483227954170729</c:v>
                </c:pt>
                <c:pt idx="4">
                  <c:v>96.833786875725693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BE-409A-AF3D-F4A6C4AE0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Zusammenfassung!$C$26</c:f>
              <c:strCache>
                <c:ptCount val="1"/>
                <c:pt idx="0">
                  <c:v>Waste reduction index [%/d]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Zusammenfassung!$D$27:$D$31</c:f>
                <c:numCache>
                  <c:formatCode>General</c:formatCode>
                  <c:ptCount val="5"/>
                  <c:pt idx="0">
                    <c:v>0.23741744399721448</c:v>
                  </c:pt>
                  <c:pt idx="1">
                    <c:v>0.18320666438267214</c:v>
                  </c:pt>
                  <c:pt idx="2">
                    <c:v>0.29541084360531256</c:v>
                  </c:pt>
                  <c:pt idx="3">
                    <c:v>0.45615075535256988</c:v>
                  </c:pt>
                  <c:pt idx="4">
                    <c:v>0.26201014888830915</c:v>
                  </c:pt>
                </c:numCache>
              </c:numRef>
            </c:plus>
            <c:minus>
              <c:numRef>
                <c:f>Zusammenfassung!$D$27:$D$31</c:f>
                <c:numCache>
                  <c:formatCode>General</c:formatCode>
                  <c:ptCount val="5"/>
                  <c:pt idx="0">
                    <c:v>0.23741744399721448</c:v>
                  </c:pt>
                  <c:pt idx="1">
                    <c:v>0.18320666438267214</c:v>
                  </c:pt>
                  <c:pt idx="2">
                    <c:v>0.29541084360531256</c:v>
                  </c:pt>
                  <c:pt idx="3">
                    <c:v>0.45615075535256988</c:v>
                  </c:pt>
                  <c:pt idx="4">
                    <c:v>0.26201014888830915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Zusammenfassung!$B$27:$B$31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Zusammenfassung!$C$27:$C$31</c:f>
              <c:numCache>
                <c:formatCode>0.00</c:formatCode>
                <c:ptCount val="5"/>
                <c:pt idx="0">
                  <c:v>3.4463707968522308</c:v>
                </c:pt>
                <c:pt idx="1">
                  <c:v>3.3563773943183812</c:v>
                </c:pt>
                <c:pt idx="2">
                  <c:v>3.9944562256008425</c:v>
                </c:pt>
                <c:pt idx="3">
                  <c:v>4.3225228769600879</c:v>
                </c:pt>
                <c:pt idx="4">
                  <c:v>4.1567353213485863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5-47DA-B347-FDFAE6FD3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Zusammenfassung!$C$33</c:f>
              <c:strCache>
                <c:ptCount val="1"/>
                <c:pt idx="0">
                  <c:v>Efficiency of conversion of the ingested feed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Zusammenfassung!$D$34:$D$38</c:f>
                <c:numCache>
                  <c:formatCode>General</c:formatCode>
                  <c:ptCount val="5"/>
                  <c:pt idx="0">
                    <c:v>4.2887933106788095E-2</c:v>
                  </c:pt>
                  <c:pt idx="1">
                    <c:v>7.8060611873323152E-2</c:v>
                  </c:pt>
                  <c:pt idx="2">
                    <c:v>3.5467931646134834E-2</c:v>
                  </c:pt>
                  <c:pt idx="3">
                    <c:v>2.4965435339471403E-2</c:v>
                  </c:pt>
                  <c:pt idx="4">
                    <c:v>9.0831439531572009E-3</c:v>
                  </c:pt>
                </c:numCache>
              </c:numRef>
            </c:plus>
            <c:minus>
              <c:numRef>
                <c:f>Zusammenfassung!$D$34:$D$38</c:f>
                <c:numCache>
                  <c:formatCode>General</c:formatCode>
                  <c:ptCount val="5"/>
                  <c:pt idx="0">
                    <c:v>4.2887933106788095E-2</c:v>
                  </c:pt>
                  <c:pt idx="1">
                    <c:v>7.8060611873323152E-2</c:v>
                  </c:pt>
                  <c:pt idx="2">
                    <c:v>3.5467931646134834E-2</c:v>
                  </c:pt>
                  <c:pt idx="3">
                    <c:v>2.4965435339471403E-2</c:v>
                  </c:pt>
                  <c:pt idx="4">
                    <c:v>9.0831439531572009E-3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Zusammenfassung!$B$34:$B$38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Zusammenfassung!$C$34:$C$38</c:f>
              <c:numCache>
                <c:formatCode>0.00</c:formatCode>
                <c:ptCount val="5"/>
                <c:pt idx="0">
                  <c:v>1.2064383139288008E-2</c:v>
                </c:pt>
                <c:pt idx="1">
                  <c:v>0.25265991388219761</c:v>
                </c:pt>
                <c:pt idx="2">
                  <c:v>0.37355173734006292</c:v>
                </c:pt>
                <c:pt idx="3">
                  <c:v>0.28720061513546541</c:v>
                </c:pt>
                <c:pt idx="4">
                  <c:v>0.22495342836645071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6-41E7-8373-EF57A167C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Zusammenfassung!$C$40</c:f>
              <c:strCache>
                <c:ptCount val="1"/>
                <c:pt idx="0">
                  <c:v>Larval growth rate [g/d]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Zusammenfassung!$D$41:$D$45</c:f>
                <c:numCache>
                  <c:formatCode>General</c:formatCode>
                  <c:ptCount val="5"/>
                  <c:pt idx="0">
                    <c:v>3.2898835265627528E-2</c:v>
                  </c:pt>
                  <c:pt idx="1">
                    <c:v>0.13571783980837224</c:v>
                  </c:pt>
                  <c:pt idx="2">
                    <c:v>0.16450545353515239</c:v>
                  </c:pt>
                  <c:pt idx="3">
                    <c:v>5.77224086407509E-2</c:v>
                  </c:pt>
                  <c:pt idx="4">
                    <c:v>0.10438676004059591</c:v>
                  </c:pt>
                </c:numCache>
              </c:numRef>
            </c:plus>
            <c:minus>
              <c:numRef>
                <c:f>Zusammenfassung!$D$41:$D$45</c:f>
                <c:numCache>
                  <c:formatCode>General</c:formatCode>
                  <c:ptCount val="5"/>
                  <c:pt idx="0">
                    <c:v>3.2898835265627528E-2</c:v>
                  </c:pt>
                  <c:pt idx="1">
                    <c:v>0.13571783980837224</c:v>
                  </c:pt>
                  <c:pt idx="2">
                    <c:v>0.16450545353515239</c:v>
                  </c:pt>
                  <c:pt idx="3">
                    <c:v>5.77224086407509E-2</c:v>
                  </c:pt>
                  <c:pt idx="4">
                    <c:v>0.10438676004059591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Zusammenfassung!$B$41:$B$45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Zusammenfassung!$C$41:$C$45</c:f>
              <c:numCache>
                <c:formatCode>0.00</c:formatCode>
                <c:ptCount val="5"/>
                <c:pt idx="0">
                  <c:v>1.0960476313021675E-2</c:v>
                </c:pt>
                <c:pt idx="1">
                  <c:v>0.36862912487795346</c:v>
                </c:pt>
                <c:pt idx="2">
                  <c:v>1.2778897261772286</c:v>
                </c:pt>
                <c:pt idx="3">
                  <c:v>1.5784686439335165</c:v>
                </c:pt>
                <c:pt idx="4">
                  <c:v>1.5977308819543701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17-455E-886F-9AAB05824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Zusammenfassung!$C$4</c:f>
              <c:strCache>
                <c:ptCount val="1"/>
                <c:pt idx="0">
                  <c:v>FCR DM/DM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Zusammenfassung!$D$5:$D$9</c:f>
                <c:numCache>
                  <c:formatCode>General</c:formatCode>
                  <c:ptCount val="5"/>
                  <c:pt idx="0">
                    <c:v>370.65219681156395</c:v>
                  </c:pt>
                  <c:pt idx="1">
                    <c:v>3.9645762620293445</c:v>
                  </c:pt>
                  <c:pt idx="2">
                    <c:v>0.94678033552403584</c:v>
                  </c:pt>
                  <c:pt idx="3">
                    <c:v>0.30440974118850989</c:v>
                  </c:pt>
                  <c:pt idx="4">
                    <c:v>0.6729161830068271</c:v>
                  </c:pt>
                </c:numCache>
              </c:numRef>
            </c:plus>
            <c:minus>
              <c:numRef>
                <c:f>Zusammenfassung!$D$5:$D$9</c:f>
                <c:numCache>
                  <c:formatCode>General</c:formatCode>
                  <c:ptCount val="5"/>
                  <c:pt idx="0">
                    <c:v>370.65219681156395</c:v>
                  </c:pt>
                  <c:pt idx="1">
                    <c:v>3.9645762620293445</c:v>
                  </c:pt>
                  <c:pt idx="2">
                    <c:v>0.94678033552403584</c:v>
                  </c:pt>
                  <c:pt idx="3">
                    <c:v>0.30440974118850989</c:v>
                  </c:pt>
                  <c:pt idx="4">
                    <c:v>0.6729161830068271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[2]Zusammenfassung!$B$20:$B$24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Zusammenfassung!$C$5:$C$9</c:f>
              <c:numCache>
                <c:formatCode>0.00</c:formatCode>
                <c:ptCount val="5"/>
                <c:pt idx="0">
                  <c:v>-291.38454308675472</c:v>
                </c:pt>
                <c:pt idx="1">
                  <c:v>13.042439030766452</c:v>
                </c:pt>
                <c:pt idx="2">
                  <c:v>6.8124486518756049</c:v>
                </c:pt>
                <c:pt idx="3">
                  <c:v>8.1360655474596619</c:v>
                </c:pt>
                <c:pt idx="4">
                  <c:v>10.746697037252984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5F-4E0E-988A-471B64AB8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Zusammenfassung!$C$47</c:f>
              <c:strCache>
                <c:ptCount val="1"/>
                <c:pt idx="0">
                  <c:v>Yield [g]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Zusammenfassung!$D$48:$D$52</c:f>
                <c:numCache>
                  <c:formatCode>General</c:formatCode>
                  <c:ptCount val="5"/>
                  <c:pt idx="0">
                    <c:v>-1.8777919999999337E-3</c:v>
                  </c:pt>
                  <c:pt idx="1">
                    <c:v>1.2503697133333329</c:v>
                  </c:pt>
                  <c:pt idx="2">
                    <c:v>2.6061703682666675</c:v>
                  </c:pt>
                  <c:pt idx="3">
                    <c:v>2.1653009533333334</c:v>
                  </c:pt>
                  <c:pt idx="4">
                    <c:v>2.2943759466666664</c:v>
                  </c:pt>
                </c:numCache>
              </c:numRef>
            </c:plus>
            <c:minus>
              <c:numRef>
                <c:f>Zusammenfassung!$D$48:$D$52</c:f>
                <c:numCache>
                  <c:formatCode>General</c:formatCode>
                  <c:ptCount val="5"/>
                  <c:pt idx="0">
                    <c:v>-1.8777919999999337E-3</c:v>
                  </c:pt>
                  <c:pt idx="1">
                    <c:v>1.2503697133333329</c:v>
                  </c:pt>
                  <c:pt idx="2">
                    <c:v>2.6061703682666675</c:v>
                  </c:pt>
                  <c:pt idx="3">
                    <c:v>2.1653009533333334</c:v>
                  </c:pt>
                  <c:pt idx="4">
                    <c:v>2.2943759466666664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Zusammenfassung!$B$48:$B$52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Zusammenfassung!$C$48:$C$52</c:f>
              <c:numCache>
                <c:formatCode>0.00</c:formatCode>
                <c:ptCount val="5"/>
                <c:pt idx="0">
                  <c:v>0.10960476313021676</c:v>
                </c:pt>
                <c:pt idx="1">
                  <c:v>3.686291248779535</c:v>
                </c:pt>
                <c:pt idx="2">
                  <c:v>12.778897261772286</c:v>
                </c:pt>
                <c:pt idx="3">
                  <c:v>15.784686439335166</c:v>
                </c:pt>
                <c:pt idx="4">
                  <c:v>15.977308819543699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B-4603-B19D-A9B435591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Zusammenfassung!$C$54</c:f>
              <c:strCache>
                <c:ptCount val="1"/>
                <c:pt idx="0">
                  <c:v>Larval final weight [mg/Larve]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Zusammenfassung!$D$55:$D$59</c:f>
                <c:numCache>
                  <c:formatCode>General</c:formatCode>
                  <c:ptCount val="5"/>
                  <c:pt idx="0">
                    <c:v>0.21279631042485808</c:v>
                  </c:pt>
                  <c:pt idx="1">
                    <c:v>0.1315774098918509</c:v>
                  </c:pt>
                  <c:pt idx="2">
                    <c:v>1.7430557707364391</c:v>
                  </c:pt>
                  <c:pt idx="3">
                    <c:v>2.1481481686164861</c:v>
                  </c:pt>
                  <c:pt idx="4">
                    <c:v>1.0058695033058831</c:v>
                  </c:pt>
                </c:numCache>
              </c:numRef>
            </c:plus>
            <c:minus>
              <c:numRef>
                <c:f>Zusammenfassung!$D$55:$D$59</c:f>
                <c:numCache>
                  <c:formatCode>General</c:formatCode>
                  <c:ptCount val="5"/>
                  <c:pt idx="0">
                    <c:v>0.21279631042485808</c:v>
                  </c:pt>
                  <c:pt idx="1">
                    <c:v>0.1315774098918509</c:v>
                  </c:pt>
                  <c:pt idx="2">
                    <c:v>1.7430557707364391</c:v>
                  </c:pt>
                  <c:pt idx="3">
                    <c:v>2.1481481686164861</c:v>
                  </c:pt>
                  <c:pt idx="4">
                    <c:v>1.0058695033058831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Zusammenfassung!$B$55:$B$59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Zusammenfassung!$C$55:$C$59</c:f>
              <c:numCache>
                <c:formatCode>0.00</c:formatCode>
                <c:ptCount val="5"/>
                <c:pt idx="0">
                  <c:v>4.1880638764677771</c:v>
                </c:pt>
                <c:pt idx="1">
                  <c:v>8.2124015623260167</c:v>
                </c:pt>
                <c:pt idx="2">
                  <c:v>16.013552264779115</c:v>
                </c:pt>
                <c:pt idx="3">
                  <c:v>21.878961196325715</c:v>
                </c:pt>
                <c:pt idx="4">
                  <c:v>20.773966185084131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08-43AA-A319-9BB5C186F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Zusammenfassung!$C$61</c:f>
              <c:strCache>
                <c:ptCount val="1"/>
                <c:pt idx="0">
                  <c:v>normalizied Yield Box 1 [mg/Larve]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Zusammenfassung!$D$62:$D$66</c:f>
                <c:numCache>
                  <c:formatCode>General</c:formatCode>
                  <c:ptCount val="5"/>
                  <c:pt idx="0">
                    <c:v>0.38479163000832867</c:v>
                  </c:pt>
                  <c:pt idx="1">
                    <c:v>1.5863441815797286</c:v>
                  </c:pt>
                  <c:pt idx="2">
                    <c:v>1.922562652986594</c:v>
                  </c:pt>
                  <c:pt idx="3">
                    <c:v>0.67218698173284364</c:v>
                  </c:pt>
                  <c:pt idx="4">
                    <c:v>1.220384230828216</c:v>
                  </c:pt>
                </c:numCache>
              </c:numRef>
            </c:plus>
            <c:minus>
              <c:numRef>
                <c:f>Zusammenfassung!$D$62:$D$66</c:f>
                <c:numCache>
                  <c:formatCode>General</c:formatCode>
                  <c:ptCount val="5"/>
                  <c:pt idx="0">
                    <c:v>0.38479163000832867</c:v>
                  </c:pt>
                  <c:pt idx="1">
                    <c:v>1.5863441815797286</c:v>
                  </c:pt>
                  <c:pt idx="2">
                    <c:v>1.922562652986594</c:v>
                  </c:pt>
                  <c:pt idx="3">
                    <c:v>0.67218698173284364</c:v>
                  </c:pt>
                  <c:pt idx="4">
                    <c:v>1.220384230828216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Zusammenfassung!$B$62:$B$66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Zusammenfassung!$C$62:$C$66</c:f>
              <c:numCache>
                <c:formatCode>0.00</c:formatCode>
                <c:ptCount val="5"/>
                <c:pt idx="0">
                  <c:v>0.12812584796473914</c:v>
                </c:pt>
                <c:pt idx="1">
                  <c:v>4.3108491089735903</c:v>
                </c:pt>
                <c:pt idx="2">
                  <c:v>14.949115968218484</c:v>
                </c:pt>
                <c:pt idx="3">
                  <c:v>18.465450308387357</c:v>
                </c:pt>
                <c:pt idx="4">
                  <c:v>18.692871346031385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F7-45D1-8C2C-FA8B490CE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Zusammenfassung!$C$68</c:f>
              <c:strCache>
                <c:ptCount val="1"/>
                <c:pt idx="0">
                  <c:v>normalizied Larval growth rate Box 1 [mg/d/Larve]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Zusammenfassung!$D$69:$D$73</c:f>
                <c:numCache>
                  <c:formatCode>General</c:formatCode>
                  <c:ptCount val="5"/>
                  <c:pt idx="0">
                    <c:v>3.8479163000832872E-2</c:v>
                  </c:pt>
                  <c:pt idx="1">
                    <c:v>0.1586344181579728</c:v>
                  </c:pt>
                  <c:pt idx="2">
                    <c:v>0.19225626529865986</c:v>
                  </c:pt>
                  <c:pt idx="3">
                    <c:v>6.7218698173284297E-2</c:v>
                  </c:pt>
                  <c:pt idx="4">
                    <c:v>0.12203842308282163</c:v>
                  </c:pt>
                </c:numCache>
              </c:numRef>
            </c:plus>
            <c:minus>
              <c:numRef>
                <c:f>Zusammenfassung!$D$69:$D$73</c:f>
                <c:numCache>
                  <c:formatCode>General</c:formatCode>
                  <c:ptCount val="5"/>
                  <c:pt idx="0">
                    <c:v>3.8479163000832872E-2</c:v>
                  </c:pt>
                  <c:pt idx="1">
                    <c:v>0.1586344181579728</c:v>
                  </c:pt>
                  <c:pt idx="2">
                    <c:v>0.19225626529865986</c:v>
                  </c:pt>
                  <c:pt idx="3">
                    <c:v>6.7218698173284297E-2</c:v>
                  </c:pt>
                  <c:pt idx="4">
                    <c:v>0.12203842308282163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Zusammenfassung!$B$69:$B$73</c:f>
              <c:strCache>
                <c:ptCount val="5"/>
                <c:pt idx="0">
                  <c:v>25mg </c:v>
                </c:pt>
                <c:pt idx="1">
                  <c:v>50 mg </c:v>
                </c:pt>
                <c:pt idx="2">
                  <c:v>100 mg </c:v>
                </c:pt>
                <c:pt idx="3">
                  <c:v>150 mg </c:v>
                </c:pt>
                <c:pt idx="4">
                  <c:v>200 mg</c:v>
                </c:pt>
              </c:strCache>
            </c:strRef>
          </c:cat>
          <c:val>
            <c:numRef>
              <c:f>Zusammenfassung!$C$69:$C$73</c:f>
              <c:numCache>
                <c:formatCode>0.00</c:formatCode>
                <c:ptCount val="5"/>
                <c:pt idx="0">
                  <c:v>1.2812584796473916E-2</c:v>
                </c:pt>
                <c:pt idx="1">
                  <c:v>0.43108491089735906</c:v>
                </c:pt>
                <c:pt idx="2">
                  <c:v>1.4949115968218483</c:v>
                </c:pt>
                <c:pt idx="3">
                  <c:v>1.8465450308387357</c:v>
                </c:pt>
                <c:pt idx="4">
                  <c:v>1.869287134603139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05-4212-9DCD-F04F753F2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890248"/>
        <c:axId val="450885656"/>
      </c:barChart>
      <c:catAx>
        <c:axId val="450890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85656"/>
        <c:crosses val="autoZero"/>
        <c:auto val="1"/>
        <c:lblAlgn val="ctr"/>
        <c:lblOffset val="100"/>
        <c:noMultiLvlLbl val="0"/>
      </c:catAx>
      <c:valAx>
        <c:axId val="4508856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890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368506</xdr:colOff>
      <xdr:row>4</xdr:row>
      <xdr:rowOff>127415</xdr:rowOff>
    </xdr:from>
    <xdr:to>
      <xdr:col>25</xdr:col>
      <xdr:colOff>55756</xdr:colOff>
      <xdr:row>48</xdr:row>
      <xdr:rowOff>59765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2990530-AF08-4264-B23A-E7B6D6F9E5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546897</xdr:colOff>
      <xdr:row>15</xdr:row>
      <xdr:rowOff>173960</xdr:rowOff>
    </xdr:from>
    <xdr:to>
      <xdr:col>7</xdr:col>
      <xdr:colOff>566055</xdr:colOff>
      <xdr:row>28</xdr:row>
      <xdr:rowOff>172452</xdr:rowOff>
    </xdr:to>
    <xdr:graphicFrame macro="">
      <xdr:nvGraphicFramePr>
        <xdr:cNvPr id="12" name="Diagramm 11">
          <a:extLst>
            <a:ext uri="{FF2B5EF4-FFF2-40B4-BE49-F238E27FC236}">
              <a16:creationId xmlns:a16="http://schemas.microsoft.com/office/drawing/2014/main" id="{F1A487CF-76FF-4DE1-9ED0-8B2D66F9C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323524</xdr:colOff>
      <xdr:row>2</xdr:row>
      <xdr:rowOff>7294</xdr:rowOff>
    </xdr:from>
    <xdr:to>
      <xdr:col>12</xdr:col>
      <xdr:colOff>286533</xdr:colOff>
      <xdr:row>15</xdr:row>
      <xdr:rowOff>16672</xdr:rowOff>
    </xdr:to>
    <xdr:graphicFrame macro="">
      <xdr:nvGraphicFramePr>
        <xdr:cNvPr id="13" name="Diagramm 12">
          <a:extLst>
            <a:ext uri="{FF2B5EF4-FFF2-40B4-BE49-F238E27FC236}">
              <a16:creationId xmlns:a16="http://schemas.microsoft.com/office/drawing/2014/main" id="{C15C6D37-4F08-427E-89B6-B287F38E9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359744</xdr:colOff>
      <xdr:row>16</xdr:row>
      <xdr:rowOff>15816</xdr:rowOff>
    </xdr:from>
    <xdr:to>
      <xdr:col>12</xdr:col>
      <xdr:colOff>315217</xdr:colOff>
      <xdr:row>29</xdr:row>
      <xdr:rowOff>14866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0E4EB9BA-7EB2-4FAB-B583-01F8D9D3D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431960</xdr:colOff>
      <xdr:row>30</xdr:row>
      <xdr:rowOff>152958</xdr:rowOff>
    </xdr:from>
    <xdr:to>
      <xdr:col>7</xdr:col>
      <xdr:colOff>473843</xdr:colOff>
      <xdr:row>43</xdr:row>
      <xdr:rowOff>143831</xdr:rowOff>
    </xdr:to>
    <xdr:graphicFrame macro="">
      <xdr:nvGraphicFramePr>
        <xdr:cNvPr id="15" name="Diagramm 14">
          <a:extLst>
            <a:ext uri="{FF2B5EF4-FFF2-40B4-BE49-F238E27FC236}">
              <a16:creationId xmlns:a16="http://schemas.microsoft.com/office/drawing/2014/main" id="{8542A086-E0E6-4769-B359-D7A8B720A5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449235</xdr:colOff>
      <xdr:row>30</xdr:row>
      <xdr:rowOff>65315</xdr:rowOff>
    </xdr:from>
    <xdr:to>
      <xdr:col>12</xdr:col>
      <xdr:colOff>407731</xdr:colOff>
      <xdr:row>43</xdr:row>
      <xdr:rowOff>82393</xdr:rowOff>
    </xdr:to>
    <xdr:graphicFrame macro="">
      <xdr:nvGraphicFramePr>
        <xdr:cNvPr id="16" name="Diagramm 15">
          <a:extLst>
            <a:ext uri="{FF2B5EF4-FFF2-40B4-BE49-F238E27FC236}">
              <a16:creationId xmlns:a16="http://schemas.microsoft.com/office/drawing/2014/main" id="{F3A214E8-23F4-422A-BFAD-AB3770B948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555171</xdr:colOff>
      <xdr:row>1</xdr:row>
      <xdr:rowOff>163286</xdr:rowOff>
    </xdr:from>
    <xdr:to>
      <xdr:col>8</xdr:col>
      <xdr:colOff>87085</xdr:colOff>
      <xdr:row>14</xdr:row>
      <xdr:rowOff>152400</xdr:rowOff>
    </xdr:to>
    <xdr:graphicFrame macro="">
      <xdr:nvGraphicFramePr>
        <xdr:cNvPr id="17" name="Diagramm 16">
          <a:extLst>
            <a:ext uri="{FF2B5EF4-FFF2-40B4-BE49-F238E27FC236}">
              <a16:creationId xmlns:a16="http://schemas.microsoft.com/office/drawing/2014/main" id="{DFD42AB2-3A93-4AE6-90E1-72C520E1F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468085</xdr:colOff>
      <xdr:row>44</xdr:row>
      <xdr:rowOff>174172</xdr:rowOff>
    </xdr:from>
    <xdr:to>
      <xdr:col>7</xdr:col>
      <xdr:colOff>509968</xdr:colOff>
      <xdr:row>57</xdr:row>
      <xdr:rowOff>175931</xdr:rowOff>
    </xdr:to>
    <xdr:graphicFrame macro="">
      <xdr:nvGraphicFramePr>
        <xdr:cNvPr id="18" name="Diagramm 17">
          <a:extLst>
            <a:ext uri="{FF2B5EF4-FFF2-40B4-BE49-F238E27FC236}">
              <a16:creationId xmlns:a16="http://schemas.microsoft.com/office/drawing/2014/main" id="{FEB7F225-483C-41CD-A8AE-BBE075725D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653143</xdr:colOff>
      <xdr:row>44</xdr:row>
      <xdr:rowOff>108857</xdr:rowOff>
    </xdr:from>
    <xdr:to>
      <xdr:col>12</xdr:col>
      <xdr:colOff>640599</xdr:colOff>
      <xdr:row>57</xdr:row>
      <xdr:rowOff>110616</xdr:rowOff>
    </xdr:to>
    <xdr:graphicFrame macro="">
      <xdr:nvGraphicFramePr>
        <xdr:cNvPr id="19" name="Diagramm 18">
          <a:extLst>
            <a:ext uri="{FF2B5EF4-FFF2-40B4-BE49-F238E27FC236}">
              <a16:creationId xmlns:a16="http://schemas.microsoft.com/office/drawing/2014/main" id="{DC02E278-241B-4B66-A268-905EB8EA1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457200</xdr:colOff>
      <xdr:row>59</xdr:row>
      <xdr:rowOff>185057</xdr:rowOff>
    </xdr:from>
    <xdr:to>
      <xdr:col>7</xdr:col>
      <xdr:colOff>499083</xdr:colOff>
      <xdr:row>73</xdr:row>
      <xdr:rowOff>1759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E1C97B22-88B8-4380-A625-B0DD499F3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718457</xdr:colOff>
      <xdr:row>60</xdr:row>
      <xdr:rowOff>32657</xdr:rowOff>
    </xdr:from>
    <xdr:to>
      <xdr:col>12</xdr:col>
      <xdr:colOff>705913</xdr:colOff>
      <xdr:row>73</xdr:row>
      <xdr:rowOff>45302</xdr:rowOff>
    </xdr:to>
    <xdr:graphicFrame macro="">
      <xdr:nvGraphicFramePr>
        <xdr:cNvPr id="21" name="Diagramm 20">
          <a:extLst>
            <a:ext uri="{FF2B5EF4-FFF2-40B4-BE49-F238E27FC236}">
              <a16:creationId xmlns:a16="http://schemas.microsoft.com/office/drawing/2014/main" id="{08CB959B-BB44-4A37-AF69-A13C1A7C7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ersuch1_F&#252;tterungsrate_high_density_La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ersuch1_feedingrate_Indust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rechnungen Fütterungsmenge"/>
      <sheetName val="25 mg"/>
      <sheetName val="50 mg"/>
      <sheetName val="100 mg"/>
      <sheetName val="150 mg"/>
      <sheetName val="200 mg"/>
      <sheetName val="Wachstumskurven"/>
      <sheetName val="Zusammenfassung"/>
      <sheetName val="OneWay ANOVA"/>
    </sheetNames>
    <sheetDataSet>
      <sheetData sheetId="0" refreshError="1"/>
      <sheetData sheetId="1" refreshError="1">
        <row r="34">
          <cell r="AJ34">
            <v>-1.8777919999999337E-3</v>
          </cell>
        </row>
      </sheetData>
      <sheetData sheetId="2" refreshError="1">
        <row r="34">
          <cell r="AJ34">
            <v>1.2503697133333329</v>
          </cell>
        </row>
      </sheetData>
      <sheetData sheetId="3" refreshError="1">
        <row r="34">
          <cell r="AJ34">
            <v>2.6061703682666675</v>
          </cell>
        </row>
      </sheetData>
      <sheetData sheetId="4" refreshError="1">
        <row r="34">
          <cell r="AJ34">
            <v>2.1653009533333334</v>
          </cell>
        </row>
      </sheetData>
      <sheetData sheetId="5" refreshError="1">
        <row r="34">
          <cell r="AJ34">
            <v>2.2943759466666664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rechnungen Fütterungsmenge"/>
      <sheetName val="25 mg"/>
      <sheetName val="50 mg"/>
      <sheetName val="100 mg"/>
      <sheetName val="150 mg"/>
      <sheetName val="200 mg"/>
      <sheetName val="Wachstumskurven"/>
      <sheetName val="Zusammenfassung"/>
      <sheetName val="OneWay ANO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0">
          <cell r="B20" t="str">
            <v xml:space="preserve">25mg </v>
          </cell>
        </row>
        <row r="21">
          <cell r="B21" t="str">
            <v xml:space="preserve">50 mg </v>
          </cell>
        </row>
        <row r="22">
          <cell r="B22" t="str">
            <v xml:space="preserve">100 mg </v>
          </cell>
        </row>
        <row r="23">
          <cell r="B23" t="str">
            <v xml:space="preserve">150 mg </v>
          </cell>
        </row>
        <row r="24">
          <cell r="B24" t="str">
            <v>200 mg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8"/>
  <sheetViews>
    <sheetView topLeftCell="I1" zoomScale="95" zoomScaleNormal="78" workbookViewId="0">
      <selection activeCell="K10" sqref="K10"/>
    </sheetView>
  </sheetViews>
  <sheetFormatPr baseColWidth="10" defaultColWidth="8.77734375" defaultRowHeight="14.4" x14ac:dyDescent="0.3"/>
  <cols>
    <col min="2" max="2" width="20" customWidth="1"/>
    <col min="3" max="3" width="12.21875" customWidth="1"/>
    <col min="4" max="5" width="11.21875" customWidth="1"/>
    <col min="7" max="7" width="10.33203125" customWidth="1"/>
    <col min="10" max="10" width="32.77734375" customWidth="1"/>
    <col min="11" max="11" width="28.77734375" customWidth="1"/>
    <col min="12" max="12" width="27.77734375" customWidth="1"/>
    <col min="13" max="13" width="30.77734375" customWidth="1"/>
  </cols>
  <sheetData>
    <row r="1" spans="2:16" ht="16.2" x14ac:dyDescent="0.3">
      <c r="J1" s="57" t="s">
        <v>49</v>
      </c>
      <c r="K1" s="58"/>
      <c r="L1" s="58"/>
      <c r="M1" s="59"/>
    </row>
    <row r="2" spans="2:16" ht="14.55" customHeight="1" x14ac:dyDescent="0.3">
      <c r="B2" s="143" t="s">
        <v>0</v>
      </c>
      <c r="C2" s="143"/>
      <c r="D2" s="143"/>
      <c r="E2" s="143"/>
      <c r="F2" s="143"/>
      <c r="G2" s="143"/>
      <c r="J2" s="146" t="s">
        <v>1</v>
      </c>
      <c r="K2" s="147"/>
      <c r="L2" s="147"/>
      <c r="M2" s="148"/>
      <c r="N2" s="3"/>
    </row>
    <row r="3" spans="2:16" x14ac:dyDescent="0.3">
      <c r="B3" s="1"/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J3" s="12" t="s">
        <v>8</v>
      </c>
      <c r="K3" s="13" t="s">
        <v>47</v>
      </c>
      <c r="L3" s="13" t="s">
        <v>48</v>
      </c>
      <c r="M3" s="14" t="s">
        <v>9</v>
      </c>
      <c r="N3" s="3"/>
      <c r="O3" s="3"/>
      <c r="P3" s="3"/>
    </row>
    <row r="4" spans="2:16" x14ac:dyDescent="0.3">
      <c r="B4" s="1" t="s">
        <v>10</v>
      </c>
      <c r="C4" s="1">
        <v>77.25</v>
      </c>
      <c r="D4" s="1">
        <v>76.17</v>
      </c>
      <c r="E4" s="1">
        <v>76.709999999999994</v>
      </c>
      <c r="F4" s="2">
        <f>AVERAGE(C4:E4)</f>
        <v>76.709999999999994</v>
      </c>
      <c r="G4" s="2">
        <f>_xlfn.STDEV.P(C4:E4)</f>
        <v>0.44090815370097136</v>
      </c>
      <c r="J4" s="12">
        <v>25</v>
      </c>
      <c r="K4" s="13">
        <f>(J4*B$25)/1000</f>
        <v>21.375</v>
      </c>
      <c r="L4" s="15">
        <f>(K4/F$5)*F$4</f>
        <v>70.402586947187629</v>
      </c>
      <c r="M4" s="16">
        <f>K4+L4</f>
        <v>91.777586947187629</v>
      </c>
      <c r="N4" s="3"/>
      <c r="O4" s="3"/>
      <c r="P4" s="3"/>
    </row>
    <row r="5" spans="2:16" x14ac:dyDescent="0.3">
      <c r="B5" s="1" t="s">
        <v>11</v>
      </c>
      <c r="C5" s="1">
        <f>100-C4</f>
        <v>22.75</v>
      </c>
      <c r="D5" s="1">
        <f t="shared" ref="D5:E5" si="0">100-D4</f>
        <v>23.83</v>
      </c>
      <c r="E5" s="1">
        <f t="shared" si="0"/>
        <v>23.290000000000006</v>
      </c>
      <c r="F5" s="2">
        <f>AVERAGE(C5:E5)</f>
        <v>23.290000000000003</v>
      </c>
      <c r="G5" s="2">
        <f>_xlfn.STDEV.P(C5:E5)</f>
        <v>0.44090815370097136</v>
      </c>
      <c r="J5" s="12">
        <v>50</v>
      </c>
      <c r="K5" s="13">
        <f>(J5*B$25)/1000</f>
        <v>42.75</v>
      </c>
      <c r="L5" s="15">
        <f>(K5/F$5)*F$4</f>
        <v>140.80517389437526</v>
      </c>
      <c r="M5" s="16">
        <f t="shared" ref="M5:M8" si="1">K5+L5</f>
        <v>183.55517389437526</v>
      </c>
      <c r="N5" s="3"/>
      <c r="O5" s="3"/>
      <c r="P5" s="3"/>
    </row>
    <row r="6" spans="2:16" x14ac:dyDescent="0.3">
      <c r="J6" s="12">
        <v>100</v>
      </c>
      <c r="K6" s="13">
        <f>(J6*B$25)/1000</f>
        <v>85.5</v>
      </c>
      <c r="L6" s="15">
        <f>(K6/F$5)*F$4</f>
        <v>281.61034778875052</v>
      </c>
      <c r="M6" s="16">
        <f>K6+L6</f>
        <v>367.11034778875052</v>
      </c>
      <c r="N6" s="3"/>
      <c r="O6" s="3"/>
      <c r="P6" s="3"/>
    </row>
    <row r="7" spans="2:16" x14ac:dyDescent="0.3">
      <c r="B7" s="149" t="s">
        <v>12</v>
      </c>
      <c r="C7" s="149"/>
      <c r="D7" s="149"/>
      <c r="E7" s="149"/>
      <c r="F7" s="149"/>
      <c r="G7" s="149"/>
      <c r="J7" s="12">
        <v>150</v>
      </c>
      <c r="K7" s="13">
        <f>(J7*B$25)/1000</f>
        <v>128.25</v>
      </c>
      <c r="L7" s="15">
        <f>(K7/F$5)*F$4</f>
        <v>422.41552168312569</v>
      </c>
      <c r="M7" s="16">
        <f t="shared" si="1"/>
        <v>550.66552168312569</v>
      </c>
      <c r="N7" s="3"/>
      <c r="O7" s="3"/>
      <c r="P7" s="3"/>
    </row>
    <row r="8" spans="2:16" x14ac:dyDescent="0.3">
      <c r="B8" s="4" t="s">
        <v>13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J8" s="12">
        <v>200</v>
      </c>
      <c r="K8" s="13">
        <f>(J8*B$25)/1000</f>
        <v>171</v>
      </c>
      <c r="L8" s="15">
        <f>(K8/F$5)*F$4</f>
        <v>563.22069557750103</v>
      </c>
      <c r="M8" s="16">
        <f t="shared" si="1"/>
        <v>734.22069557750103</v>
      </c>
      <c r="N8" s="3"/>
      <c r="O8" s="3"/>
      <c r="P8" s="3"/>
    </row>
    <row r="9" spans="2:16" x14ac:dyDescent="0.3">
      <c r="B9" s="4" t="s">
        <v>14</v>
      </c>
      <c r="C9" s="4">
        <v>12.44</v>
      </c>
      <c r="D9" s="4">
        <v>12.39</v>
      </c>
      <c r="E9" s="4">
        <v>11.28</v>
      </c>
      <c r="F9" s="6">
        <f>AVERAGE(C9:E9)</f>
        <v>12.036666666666667</v>
      </c>
      <c r="G9" s="6">
        <f>_xlfn.STDEV.P(C9:E9)</f>
        <v>0.53543336549834963</v>
      </c>
      <c r="J9" s="20"/>
      <c r="K9" s="21"/>
      <c r="L9" s="21"/>
      <c r="M9" s="22"/>
      <c r="N9" s="3"/>
      <c r="O9" s="3"/>
      <c r="P9" s="3"/>
    </row>
    <row r="10" spans="2:16" x14ac:dyDescent="0.3">
      <c r="B10" s="4" t="s">
        <v>15</v>
      </c>
      <c r="C10" s="4">
        <f>100-C9</f>
        <v>87.56</v>
      </c>
      <c r="D10" s="4">
        <f>100-D9</f>
        <v>87.61</v>
      </c>
      <c r="E10" s="4">
        <f>100-E9</f>
        <v>88.72</v>
      </c>
      <c r="F10" s="6">
        <f>AVERAGE(C10:E10)</f>
        <v>87.963333333333324</v>
      </c>
      <c r="G10" s="6">
        <f>_xlfn.STDEV.P(C9:E9)</f>
        <v>0.53543336549834963</v>
      </c>
      <c r="J10" s="20"/>
      <c r="K10" s="21"/>
      <c r="L10" s="21"/>
      <c r="M10" s="22"/>
      <c r="N10" s="3"/>
      <c r="O10" s="3"/>
      <c r="P10" s="3"/>
    </row>
    <row r="11" spans="2:16" x14ac:dyDescent="0.3">
      <c r="J11" s="20"/>
      <c r="K11" s="21"/>
      <c r="L11" s="21"/>
      <c r="M11" s="22"/>
      <c r="N11" s="3"/>
    </row>
    <row r="12" spans="2:16" x14ac:dyDescent="0.3">
      <c r="B12" s="149" t="s">
        <v>115</v>
      </c>
      <c r="C12" s="149"/>
      <c r="D12" s="149"/>
      <c r="E12" s="149"/>
      <c r="F12" s="149"/>
      <c r="G12" s="149"/>
      <c r="J12" s="150" t="s">
        <v>57</v>
      </c>
      <c r="K12" s="151"/>
      <c r="L12" s="151"/>
      <c r="M12" s="152"/>
      <c r="N12" s="3"/>
    </row>
    <row r="13" spans="2:16" x14ac:dyDescent="0.3">
      <c r="B13" s="4" t="s">
        <v>13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J13" s="12" t="s">
        <v>8</v>
      </c>
      <c r="K13" s="17" t="s">
        <v>47</v>
      </c>
      <c r="L13" s="17" t="s">
        <v>48</v>
      </c>
      <c r="M13" s="18" t="s">
        <v>9</v>
      </c>
      <c r="N13" s="3"/>
      <c r="O13" s="3"/>
      <c r="P13" s="3"/>
    </row>
    <row r="14" spans="2:16" x14ac:dyDescent="0.3">
      <c r="B14" s="4" t="s">
        <v>14</v>
      </c>
      <c r="C14" s="4">
        <v>77.28</v>
      </c>
      <c r="D14" s="4">
        <v>76.900000000000006</v>
      </c>
      <c r="E14" s="4">
        <v>76.92</v>
      </c>
      <c r="F14" s="6">
        <f>AVERAGE(C14:E14)</f>
        <v>77.033333333333346</v>
      </c>
      <c r="G14" s="6">
        <f>_xlfn.STDEV.P(C14:E14)</f>
        <v>0.17461067804944932</v>
      </c>
      <c r="J14" s="12">
        <v>25</v>
      </c>
      <c r="K14" s="17">
        <f>((J14*B$25)/1000)*E$26</f>
        <v>17.100000000000001</v>
      </c>
      <c r="L14" s="19">
        <f>(K14/F$5)*F$4</f>
        <v>56.322069557750098</v>
      </c>
      <c r="M14" s="37">
        <f>K14+L14</f>
        <v>73.422069557750092</v>
      </c>
      <c r="N14" s="3"/>
      <c r="O14" s="3"/>
      <c r="P14" s="3"/>
    </row>
    <row r="15" spans="2:16" x14ac:dyDescent="0.3">
      <c r="B15" s="4" t="s">
        <v>15</v>
      </c>
      <c r="C15" s="4">
        <f>100-C14</f>
        <v>22.72</v>
      </c>
      <c r="D15" s="4">
        <f>100-D14</f>
        <v>23.099999999999994</v>
      </c>
      <c r="E15" s="4">
        <f>100-E14</f>
        <v>23.08</v>
      </c>
      <c r="F15" s="6">
        <f>AVERAGE(C15:E15)</f>
        <v>22.966666666666665</v>
      </c>
      <c r="G15" s="6">
        <f>_xlfn.STDEV.P(C14:E14)</f>
        <v>0.17461067804944932</v>
      </c>
      <c r="J15" s="12">
        <v>50</v>
      </c>
      <c r="K15" s="17">
        <f>((J15*B$25)/1000)*E$26</f>
        <v>34.200000000000003</v>
      </c>
      <c r="L15" s="19">
        <f>(K15/F$5)*F$4</f>
        <v>112.6441391155002</v>
      </c>
      <c r="M15" s="37">
        <f t="shared" ref="M15:M17" si="2">K15+L15</f>
        <v>146.84413911550018</v>
      </c>
      <c r="N15" s="3"/>
      <c r="O15" s="3"/>
      <c r="P15" s="3"/>
    </row>
    <row r="16" spans="2:16" x14ac:dyDescent="0.3">
      <c r="J16" s="12">
        <v>100</v>
      </c>
      <c r="K16" s="17">
        <f>((J16*B$25)/1000)*E$26</f>
        <v>68.400000000000006</v>
      </c>
      <c r="L16" s="19">
        <f>(K16/F$5)*F$4</f>
        <v>225.28827823100039</v>
      </c>
      <c r="M16" s="37">
        <f t="shared" si="2"/>
        <v>293.68827823100037</v>
      </c>
      <c r="N16" s="3"/>
      <c r="O16" s="3"/>
      <c r="P16" s="3"/>
    </row>
    <row r="17" spans="2:13" x14ac:dyDescent="0.3">
      <c r="B17" s="149" t="s">
        <v>114</v>
      </c>
      <c r="C17" s="149"/>
      <c r="D17" s="149"/>
      <c r="E17" s="149"/>
      <c r="F17" s="149"/>
      <c r="G17" s="149"/>
      <c r="J17" s="12">
        <v>150</v>
      </c>
      <c r="K17" s="17">
        <f>((J17*B$25)/1000)*E$26</f>
        <v>102.60000000000001</v>
      </c>
      <c r="L17" s="19">
        <f>(K17/F$5)*F$4</f>
        <v>337.93241734650059</v>
      </c>
      <c r="M17" s="37">
        <f t="shared" si="2"/>
        <v>440.53241734650061</v>
      </c>
    </row>
    <row r="18" spans="2:13" x14ac:dyDescent="0.3">
      <c r="B18" s="4" t="s">
        <v>13</v>
      </c>
      <c r="C18" s="4" t="s">
        <v>3</v>
      </c>
      <c r="D18" s="4" t="s">
        <v>4</v>
      </c>
      <c r="E18" s="4" t="s">
        <v>5</v>
      </c>
      <c r="F18" s="4" t="s">
        <v>6</v>
      </c>
      <c r="G18" s="4" t="s">
        <v>7</v>
      </c>
      <c r="J18" s="12">
        <v>200</v>
      </c>
      <c r="K18" s="17">
        <f>((J18*B$25)/1000)*E$26</f>
        <v>136.80000000000001</v>
      </c>
      <c r="L18" s="19">
        <f>(K18/F$5)*F$4</f>
        <v>450.57655646200078</v>
      </c>
      <c r="M18" s="37">
        <f>K18+L18</f>
        <v>587.37655646200074</v>
      </c>
    </row>
    <row r="19" spans="2:13" x14ac:dyDescent="0.3">
      <c r="B19" s="4" t="s">
        <v>112</v>
      </c>
      <c r="C19" s="60">
        <v>1.1499999999999999</v>
      </c>
      <c r="D19" s="60">
        <v>1.2828999999999999</v>
      </c>
      <c r="E19" s="60">
        <v>1.236</v>
      </c>
      <c r="F19" s="61">
        <f>AVERAGE(C19:E19)</f>
        <v>1.2229666666666665</v>
      </c>
      <c r="G19" s="6">
        <f>_xlfn.STDEV.P(C19:E19)</f>
        <v>5.5033343428224399E-2</v>
      </c>
      <c r="J19" s="20"/>
      <c r="K19" s="21"/>
      <c r="L19" s="21"/>
      <c r="M19" s="22"/>
    </row>
    <row r="20" spans="2:13" x14ac:dyDescent="0.3">
      <c r="C20">
        <f>C19/200</f>
        <v>5.7499999999999999E-3</v>
      </c>
      <c r="D20" s="85">
        <f t="shared" ref="D20:E20" si="3">D19/200</f>
        <v>6.4145000000000001E-3</v>
      </c>
      <c r="E20" s="85">
        <f t="shared" si="3"/>
        <v>6.1799999999999997E-3</v>
      </c>
      <c r="F20" s="61">
        <f>AVERAGE(C20:E20)*1000</f>
        <v>6.1148333333333333</v>
      </c>
      <c r="G20" s="6">
        <f>_xlfn.STDEV.P(C20:E20)*1000</f>
        <v>0.27516671714112201</v>
      </c>
      <c r="J20" s="20"/>
      <c r="K20" s="21"/>
      <c r="L20" s="21"/>
      <c r="M20" s="22"/>
    </row>
    <row r="21" spans="2:13" x14ac:dyDescent="0.3">
      <c r="F21" s="1">
        <f>F19/200</f>
        <v>6.1148333333333324E-3</v>
      </c>
      <c r="G21" s="1" t="s">
        <v>101</v>
      </c>
      <c r="J21" s="144" t="s">
        <v>20</v>
      </c>
      <c r="K21" s="145"/>
      <c r="L21" s="145"/>
      <c r="M21" s="153"/>
    </row>
    <row r="22" spans="2:13" x14ac:dyDescent="0.3">
      <c r="F22" s="62">
        <f>F21*B25</f>
        <v>5.2281824999999991</v>
      </c>
      <c r="G22" s="1" t="s">
        <v>102</v>
      </c>
      <c r="J22" s="23" t="s">
        <v>8</v>
      </c>
      <c r="K22" s="24" t="s">
        <v>47</v>
      </c>
      <c r="L22" s="24" t="s">
        <v>48</v>
      </c>
      <c r="M22" s="25" t="s">
        <v>9</v>
      </c>
    </row>
    <row r="23" spans="2:13" x14ac:dyDescent="0.3">
      <c r="J23" s="12">
        <v>25</v>
      </c>
      <c r="K23" s="24">
        <f>(K4-K14)</f>
        <v>4.2749999999999986</v>
      </c>
      <c r="L23" s="26">
        <f>(K23/F$10)*F$9</f>
        <v>0.58497953692826543</v>
      </c>
      <c r="M23" s="38">
        <f>K23+L23</f>
        <v>4.8599795369282637</v>
      </c>
    </row>
    <row r="24" spans="2:13" x14ac:dyDescent="0.3">
      <c r="B24" s="143" t="s">
        <v>113</v>
      </c>
      <c r="C24" s="143"/>
      <c r="D24" s="143"/>
      <c r="E24" s="143"/>
      <c r="F24" s="143"/>
      <c r="G24" s="143"/>
      <c r="J24" s="12">
        <v>50</v>
      </c>
      <c r="K24" s="24">
        <f t="shared" ref="K24:K27" si="4">(K5-K15)</f>
        <v>8.5499999999999972</v>
      </c>
      <c r="L24" s="26">
        <f>(K24/F$10)*F$9</f>
        <v>1.1699590738565309</v>
      </c>
      <c r="M24" s="38">
        <f t="shared" ref="M24:M27" si="5">K24+L24</f>
        <v>9.7199590738565274</v>
      </c>
    </row>
    <row r="25" spans="2:13" x14ac:dyDescent="0.3">
      <c r="B25" s="1">
        <v>855</v>
      </c>
      <c r="C25" s="63" t="s">
        <v>2</v>
      </c>
      <c r="D25" s="24"/>
      <c r="E25" s="64"/>
      <c r="F25" s="1"/>
      <c r="G25" s="1"/>
      <c r="J25" s="12">
        <v>100</v>
      </c>
      <c r="K25" s="24">
        <f t="shared" si="4"/>
        <v>17.099999999999994</v>
      </c>
      <c r="L25" s="26">
        <f>(K25/F$10)*F$9</f>
        <v>2.3399181477130617</v>
      </c>
      <c r="M25" s="38">
        <f t="shared" si="5"/>
        <v>19.439918147713055</v>
      </c>
    </row>
    <row r="26" spans="2:13" x14ac:dyDescent="0.3">
      <c r="B26" s="63">
        <v>80</v>
      </c>
      <c r="C26" s="63" t="s">
        <v>16</v>
      </c>
      <c r="D26" s="1"/>
      <c r="E26" s="1">
        <v>0.8</v>
      </c>
      <c r="F26" s="1"/>
      <c r="G26" s="1"/>
      <c r="J26" s="12">
        <v>150</v>
      </c>
      <c r="K26" s="24">
        <f t="shared" si="4"/>
        <v>25.649999999999991</v>
      </c>
      <c r="L26" s="26">
        <f>(K26/F$10)*F$9</f>
        <v>3.5098772215695924</v>
      </c>
      <c r="M26" s="38">
        <f t="shared" si="5"/>
        <v>29.159877221569584</v>
      </c>
    </row>
    <row r="27" spans="2:13" x14ac:dyDescent="0.3">
      <c r="B27" s="63">
        <v>20</v>
      </c>
      <c r="C27" s="63" t="s">
        <v>17</v>
      </c>
      <c r="D27" s="1"/>
      <c r="E27" s="1">
        <v>0.2</v>
      </c>
      <c r="F27" s="1"/>
      <c r="G27" s="1"/>
      <c r="J27" s="12">
        <v>200</v>
      </c>
      <c r="K27" s="24">
        <f t="shared" si="4"/>
        <v>34.199999999999989</v>
      </c>
      <c r="L27" s="26">
        <f>(K27/F$10)*F$9</f>
        <v>4.6798362954261234</v>
      </c>
      <c r="M27" s="38">
        <f t="shared" si="5"/>
        <v>38.879836295426109</v>
      </c>
    </row>
    <row r="28" spans="2:13" x14ac:dyDescent="0.3">
      <c r="J28" s="20"/>
      <c r="K28" s="21"/>
      <c r="L28" s="21"/>
      <c r="M28" s="22"/>
    </row>
    <row r="29" spans="2:13" x14ac:dyDescent="0.3">
      <c r="J29" s="20"/>
      <c r="K29" s="21"/>
      <c r="L29" s="21"/>
      <c r="M29" s="22"/>
    </row>
    <row r="30" spans="2:13" x14ac:dyDescent="0.3">
      <c r="J30" s="144" t="s">
        <v>18</v>
      </c>
      <c r="K30" s="145"/>
      <c r="L30" s="21"/>
      <c r="M30" s="22"/>
    </row>
    <row r="31" spans="2:13" x14ac:dyDescent="0.3">
      <c r="J31" s="27" t="s">
        <v>8</v>
      </c>
      <c r="K31" s="28" t="s">
        <v>19</v>
      </c>
      <c r="L31" s="21"/>
      <c r="M31" s="22"/>
    </row>
    <row r="32" spans="2:13" x14ac:dyDescent="0.3">
      <c r="J32" s="12">
        <v>25</v>
      </c>
      <c r="K32" s="39">
        <f>M14+M23</f>
        <v>78.282049094678356</v>
      </c>
      <c r="L32" s="21"/>
      <c r="M32" s="22"/>
    </row>
    <row r="33" spans="10:14" x14ac:dyDescent="0.3">
      <c r="J33" s="12">
        <v>50</v>
      </c>
      <c r="K33" s="39">
        <f t="shared" ref="K33:K36" si="6">M15+M24</f>
        <v>156.56409818935671</v>
      </c>
      <c r="L33" s="21"/>
      <c r="M33" s="22"/>
    </row>
    <row r="34" spans="10:14" s="21" customFormat="1" x14ac:dyDescent="0.3">
      <c r="J34" s="12">
        <v>100</v>
      </c>
      <c r="K34" s="39">
        <f t="shared" si="6"/>
        <v>313.12819637871343</v>
      </c>
      <c r="M34" s="22"/>
    </row>
    <row r="35" spans="10:14" x14ac:dyDescent="0.3">
      <c r="J35" s="12">
        <v>150</v>
      </c>
      <c r="K35" s="39">
        <f t="shared" si="6"/>
        <v>469.69229456807017</v>
      </c>
      <c r="L35" s="21"/>
      <c r="M35" s="22"/>
    </row>
    <row r="36" spans="10:14" ht="15" thickBot="1" x14ac:dyDescent="0.35">
      <c r="J36" s="29">
        <v>200</v>
      </c>
      <c r="K36" s="40">
        <f t="shared" si="6"/>
        <v>626.25639275742685</v>
      </c>
      <c r="L36" s="30"/>
      <c r="M36" s="31"/>
    </row>
    <row r="38" spans="10:14" x14ac:dyDescent="0.3">
      <c r="N38" s="55"/>
    </row>
  </sheetData>
  <mergeCells count="9">
    <mergeCell ref="B24:G24"/>
    <mergeCell ref="J30:K30"/>
    <mergeCell ref="B2:G2"/>
    <mergeCell ref="J2:M2"/>
    <mergeCell ref="B7:G7"/>
    <mergeCell ref="J12:M12"/>
    <mergeCell ref="J21:M21"/>
    <mergeCell ref="B12:G12"/>
    <mergeCell ref="B17:G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3"/>
  <sheetViews>
    <sheetView topLeftCell="AF1" zoomScale="71" workbookViewId="0">
      <selection activeCell="AG1" sqref="AG1:AY1048576"/>
    </sheetView>
  </sheetViews>
  <sheetFormatPr baseColWidth="10" defaultColWidth="9.21875" defaultRowHeight="14.4" x14ac:dyDescent="0.3"/>
  <cols>
    <col min="2" max="2" width="10.77734375" bestFit="1" customWidth="1"/>
    <col min="3" max="3" width="21.21875" customWidth="1"/>
    <col min="4" max="4" width="25.44140625" customWidth="1"/>
    <col min="5" max="5" width="22.77734375" customWidth="1"/>
    <col min="6" max="6" width="32.21875" customWidth="1"/>
    <col min="7" max="7" width="4.6640625" customWidth="1"/>
    <col min="8" max="8" width="4" customWidth="1"/>
    <col min="9" max="9" width="25.5546875" customWidth="1"/>
    <col min="11" max="11" width="4.77734375" customWidth="1"/>
    <col min="12" max="12" width="22.88671875" customWidth="1"/>
    <col min="13" max="13" width="11.44140625" customWidth="1"/>
    <col min="14" max="14" width="10.88671875" customWidth="1"/>
    <col min="15" max="15" width="10.33203125" customWidth="1"/>
    <col min="16" max="16" width="5.6640625" customWidth="1"/>
    <col min="17" max="17" width="24.6640625" customWidth="1"/>
    <col min="18" max="18" width="15.5546875" bestFit="1" customWidth="1"/>
    <col min="19" max="19" width="9.77734375" bestFit="1" customWidth="1"/>
    <col min="20" max="20" width="7.5546875" bestFit="1" customWidth="1"/>
    <col min="21" max="21" width="18.44140625" bestFit="1" customWidth="1"/>
    <col min="22" max="22" width="9.77734375" bestFit="1" customWidth="1"/>
    <col min="23" max="23" width="7.5546875" bestFit="1" customWidth="1"/>
    <col min="25" max="25" width="35.21875" bestFit="1" customWidth="1"/>
    <col min="26" max="26" width="15.5546875" bestFit="1" customWidth="1"/>
    <col min="27" max="27" width="9.77734375" bestFit="1" customWidth="1"/>
    <col min="28" max="28" width="7.5546875" bestFit="1" customWidth="1"/>
    <col min="29" max="29" width="27.88671875" customWidth="1"/>
    <col min="30" max="30" width="9.77734375" bestFit="1" customWidth="1"/>
    <col min="31" max="31" width="7.5546875" bestFit="1" customWidth="1"/>
    <col min="33" max="33" width="43.109375" style="85" bestFit="1" customWidth="1"/>
    <col min="34" max="36" width="18.77734375" style="85" customWidth="1"/>
    <col min="37" max="37" width="11" style="85" bestFit="1" customWidth="1"/>
    <col min="38" max="38" width="10.109375" style="85" bestFit="1" customWidth="1"/>
    <col min="39" max="39" width="9.33203125" style="85" bestFit="1" customWidth="1"/>
    <col min="40" max="41" width="9.21875" style="85"/>
    <col min="42" max="42" width="36.6640625" style="85" bestFit="1" customWidth="1"/>
    <col min="43" max="43" width="9.33203125" style="85" customWidth="1"/>
    <col min="44" max="44" width="9.21875" style="85"/>
    <col min="45" max="45" width="20.77734375" style="85" customWidth="1"/>
    <col min="46" max="47" width="9.33203125" style="85" bestFit="1" customWidth="1"/>
    <col min="48" max="48" width="14.5546875" style="85" bestFit="1" customWidth="1"/>
    <col min="49" max="50" width="9.33203125" style="85" bestFit="1" customWidth="1"/>
    <col min="51" max="51" width="9.21875" style="85"/>
  </cols>
  <sheetData>
    <row r="1" spans="1:50" x14ac:dyDescent="0.3">
      <c r="A1" s="5" t="s">
        <v>21</v>
      </c>
      <c r="L1" s="11"/>
      <c r="M1" s="11" t="s">
        <v>37</v>
      </c>
      <c r="N1" s="11" t="s">
        <v>36</v>
      </c>
      <c r="O1" s="11" t="s">
        <v>7</v>
      </c>
      <c r="R1" t="s">
        <v>61</v>
      </c>
      <c r="S1" t="s">
        <v>36</v>
      </c>
      <c r="T1" t="s">
        <v>7</v>
      </c>
      <c r="Y1" s="85"/>
      <c r="Z1" s="85" t="s">
        <v>61</v>
      </c>
      <c r="AA1" s="85" t="s">
        <v>36</v>
      </c>
      <c r="AB1" s="85" t="s">
        <v>7</v>
      </c>
      <c r="AC1" s="85" t="s">
        <v>130</v>
      </c>
      <c r="AD1" s="85" t="s">
        <v>36</v>
      </c>
      <c r="AE1" s="85" t="s">
        <v>7</v>
      </c>
      <c r="AH1" s="85" t="s">
        <v>134</v>
      </c>
      <c r="AI1" s="85" t="s">
        <v>36</v>
      </c>
      <c r="AJ1" s="85" t="s">
        <v>7</v>
      </c>
      <c r="AK1" s="21"/>
      <c r="AL1" s="21"/>
      <c r="AM1" s="21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</row>
    <row r="2" spans="1:50" ht="14.4" customHeight="1" x14ac:dyDescent="0.3">
      <c r="A2" s="52" t="s">
        <v>22</v>
      </c>
      <c r="B2" s="52" t="s">
        <v>23</v>
      </c>
      <c r="C2" s="52" t="s">
        <v>32</v>
      </c>
      <c r="D2" s="52" t="s">
        <v>33</v>
      </c>
      <c r="E2" s="52" t="s">
        <v>24</v>
      </c>
      <c r="F2" s="52" t="s">
        <v>25</v>
      </c>
      <c r="I2" s="65" t="s">
        <v>28</v>
      </c>
      <c r="J2" s="70">
        <f>'Berechnungen Fütterungsmenge'!M14</f>
        <v>73.422069557750092</v>
      </c>
      <c r="L2" s="33" t="s">
        <v>38</v>
      </c>
      <c r="M2" s="49">
        <v>73.421999999999997</v>
      </c>
      <c r="N2" s="169">
        <f>AVERAGE(M2:M4)</f>
        <v>73.421999999999997</v>
      </c>
      <c r="O2" s="174">
        <f>_xlfn.STDEV.P(M2:M4)</f>
        <v>0</v>
      </c>
      <c r="P2" s="9"/>
      <c r="Q2" s="42" t="s">
        <v>58</v>
      </c>
      <c r="R2" s="32">
        <f>D16</f>
        <v>21.05</v>
      </c>
      <c r="S2" s="171">
        <f>AVERAGE(R2:R4)</f>
        <v>21.55</v>
      </c>
      <c r="T2" s="177">
        <f>_xlfn.STDEV.P(R2:R4)</f>
        <v>0.37416573867739344</v>
      </c>
      <c r="Y2" s="42" t="s">
        <v>75</v>
      </c>
      <c r="Z2" s="78">
        <f>C13+F15*(D13/1000)</f>
        <v>4.2145655352480418</v>
      </c>
      <c r="AA2" s="171">
        <f>AVERAGE(Z2:Z4)</f>
        <v>3.1229021046455223</v>
      </c>
      <c r="AB2" s="177">
        <f>_xlfn.STDEV.P(Z2:Z4)</f>
        <v>0.80200920799303699</v>
      </c>
      <c r="AC2" s="32">
        <f>D15+F15</f>
        <v>394</v>
      </c>
      <c r="AD2" s="171">
        <f>AVERAGE(AC2:AC4)</f>
        <v>309.66666666666669</v>
      </c>
      <c r="AE2" s="177">
        <f>_xlfn.STDEV.P(AC2:AC4)</f>
        <v>61.320650862676125</v>
      </c>
      <c r="AG2" s="84" t="s">
        <v>135</v>
      </c>
      <c r="AH2" s="49">
        <f>M26/Z27</f>
        <v>37.969638006480508</v>
      </c>
      <c r="AI2" s="160">
        <f>AVERAGE(AH2:AH4)</f>
        <v>-291.38454308675472</v>
      </c>
      <c r="AJ2" s="160">
        <f>_xlfn.STDEV.P(AH2:AH4)</f>
        <v>370.65219681156395</v>
      </c>
      <c r="AK2" s="50"/>
      <c r="AL2" s="131"/>
      <c r="AM2" s="131"/>
      <c r="AN2" s="132"/>
      <c r="AO2" s="132"/>
      <c r="AP2" s="132"/>
      <c r="AQ2" s="132"/>
      <c r="AR2" s="132"/>
      <c r="AS2" s="130"/>
      <c r="AT2" s="131"/>
      <c r="AU2" s="131"/>
      <c r="AV2" s="130"/>
      <c r="AW2" s="131"/>
      <c r="AX2" s="131"/>
    </row>
    <row r="3" spans="1:50" x14ac:dyDescent="0.3">
      <c r="A3" s="1">
        <v>0</v>
      </c>
      <c r="B3" s="48">
        <v>45321</v>
      </c>
      <c r="C3" s="1">
        <v>5.2286999999999999</v>
      </c>
      <c r="D3" s="1">
        <f>C3/A15*1000</f>
        <v>6.1154385964912281</v>
      </c>
      <c r="E3" s="1"/>
      <c r="F3" s="1" t="s">
        <v>116</v>
      </c>
      <c r="I3" s="66" t="s">
        <v>34</v>
      </c>
      <c r="J3" s="71">
        <f>'Berechnungen Fütterungsmenge'!M23</f>
        <v>4.8599795369282637</v>
      </c>
      <c r="L3" s="34" t="s">
        <v>39</v>
      </c>
      <c r="M3" s="50">
        <v>73.421999999999997</v>
      </c>
      <c r="N3" s="170"/>
      <c r="O3" s="175"/>
      <c r="P3" s="7"/>
      <c r="Q3" s="43" t="s">
        <v>59</v>
      </c>
      <c r="R3" s="21">
        <f>D34</f>
        <v>21.65</v>
      </c>
      <c r="S3" s="172"/>
      <c r="T3" s="178"/>
      <c r="Y3" s="43" t="s">
        <v>76</v>
      </c>
      <c r="Z3" s="79">
        <f>C31+F33*(D31/1000)</f>
        <v>2.3105532786885248</v>
      </c>
      <c r="AA3" s="172"/>
      <c r="AB3" s="178"/>
      <c r="AC3" s="21">
        <f>D33+F33</f>
        <v>250</v>
      </c>
      <c r="AD3" s="172"/>
      <c r="AE3" s="178"/>
      <c r="AG3" s="86" t="s">
        <v>136</v>
      </c>
      <c r="AH3" s="50">
        <f>M27/Z28</f>
        <v>-102.90593985347464</v>
      </c>
      <c r="AI3" s="161"/>
      <c r="AJ3" s="161"/>
      <c r="AK3" s="50"/>
      <c r="AL3" s="131"/>
      <c r="AM3" s="131"/>
      <c r="AN3" s="132"/>
      <c r="AO3" s="132"/>
      <c r="AP3" s="132"/>
      <c r="AQ3" s="132"/>
      <c r="AR3" s="132"/>
      <c r="AS3" s="130"/>
      <c r="AT3" s="131"/>
      <c r="AU3" s="131"/>
      <c r="AV3" s="130"/>
      <c r="AW3" s="131"/>
      <c r="AX3" s="131"/>
    </row>
    <row r="4" spans="1:50" x14ac:dyDescent="0.3">
      <c r="A4" s="1">
        <v>1</v>
      </c>
      <c r="B4" s="48">
        <v>45322</v>
      </c>
      <c r="C4" s="1">
        <v>0.17710000000000001</v>
      </c>
      <c r="D4" s="1">
        <f>C4/A$16*1000</f>
        <v>7.0839999999999996</v>
      </c>
      <c r="E4" s="1"/>
      <c r="F4" s="1"/>
      <c r="I4" s="67" t="s">
        <v>104</v>
      </c>
      <c r="J4" s="72">
        <f>'Berechnungen Fütterungsmenge'!F22</f>
        <v>5.2281824999999991</v>
      </c>
      <c r="L4" s="34" t="s">
        <v>40</v>
      </c>
      <c r="M4" s="50">
        <v>73.421999999999997</v>
      </c>
      <c r="N4" s="170"/>
      <c r="O4" s="175"/>
      <c r="P4" s="8"/>
      <c r="Q4" s="44" t="s">
        <v>60</v>
      </c>
      <c r="R4" s="10">
        <f>D52</f>
        <v>21.95</v>
      </c>
      <c r="S4" s="173"/>
      <c r="T4" s="179"/>
      <c r="Y4" s="44" t="s">
        <v>77</v>
      </c>
      <c r="Z4" s="80">
        <f>C49+F51*(D49/1000)</f>
        <v>2.8435874999999999</v>
      </c>
      <c r="AA4" s="173"/>
      <c r="AB4" s="179"/>
      <c r="AC4" s="10">
        <f>D51+F51</f>
        <v>285</v>
      </c>
      <c r="AD4" s="173"/>
      <c r="AE4" s="179"/>
      <c r="AG4" s="87" t="s">
        <v>137</v>
      </c>
      <c r="AH4" s="51">
        <f>M28/Z29</f>
        <v>-809.21732741327003</v>
      </c>
      <c r="AI4" s="162"/>
      <c r="AJ4" s="162"/>
      <c r="AK4" s="50"/>
      <c r="AL4" s="131"/>
      <c r="AM4" s="131"/>
      <c r="AN4" s="132"/>
      <c r="AO4" s="132"/>
      <c r="AP4" s="132"/>
      <c r="AQ4" s="132"/>
      <c r="AR4" s="132"/>
      <c r="AS4" s="130"/>
      <c r="AT4" s="131"/>
      <c r="AU4" s="131"/>
      <c r="AV4" s="130"/>
      <c r="AW4" s="131"/>
      <c r="AX4" s="131"/>
    </row>
    <row r="5" spans="1:50" x14ac:dyDescent="0.3">
      <c r="A5" s="1">
        <v>2</v>
      </c>
      <c r="B5" s="48">
        <v>45323</v>
      </c>
      <c r="C5" s="1">
        <v>0.2457</v>
      </c>
      <c r="D5" s="1">
        <f t="shared" ref="D5:D12" si="0">C5/A$16*1000</f>
        <v>9.8279999999999994</v>
      </c>
      <c r="E5" s="1"/>
      <c r="F5" s="1"/>
      <c r="I5" s="66" t="s">
        <v>30</v>
      </c>
      <c r="J5" s="68">
        <v>73.42</v>
      </c>
      <c r="L5" s="36" t="s">
        <v>41</v>
      </c>
      <c r="M5" s="49">
        <f>J5</f>
        <v>73.42</v>
      </c>
      <c r="N5" s="169">
        <f>AVERAGE(M5:M7)</f>
        <v>73.42</v>
      </c>
      <c r="O5" s="174">
        <f>_xlfn.STDEV.P(M5:M7)</f>
        <v>0</v>
      </c>
      <c r="P5" s="8"/>
    </row>
    <row r="6" spans="1:50" x14ac:dyDescent="0.3">
      <c r="A6" s="1">
        <v>3</v>
      </c>
      <c r="B6" s="48">
        <v>45324</v>
      </c>
      <c r="C6" s="1">
        <v>0.29809999999999998</v>
      </c>
      <c r="D6" s="1">
        <f t="shared" si="0"/>
        <v>11.923999999999999</v>
      </c>
      <c r="E6" s="1"/>
      <c r="F6" s="1"/>
      <c r="I6" s="66" t="s">
        <v>35</v>
      </c>
      <c r="J6" s="68">
        <v>4.8600000000000003</v>
      </c>
      <c r="L6" s="34" t="s">
        <v>42</v>
      </c>
      <c r="M6" s="50">
        <f>J23</f>
        <v>73.42</v>
      </c>
      <c r="N6" s="170"/>
      <c r="O6" s="175"/>
      <c r="R6" t="s">
        <v>14</v>
      </c>
      <c r="S6" t="s">
        <v>36</v>
      </c>
      <c r="T6" t="s">
        <v>7</v>
      </c>
      <c r="U6" t="s">
        <v>15</v>
      </c>
      <c r="V6" t="s">
        <v>36</v>
      </c>
      <c r="W6" t="s">
        <v>7</v>
      </c>
      <c r="Z6" t="s">
        <v>14</v>
      </c>
      <c r="AA6" t="s">
        <v>36</v>
      </c>
      <c r="AB6" t="s">
        <v>7</v>
      </c>
      <c r="AC6" t="s">
        <v>15</v>
      </c>
      <c r="AD6" t="s">
        <v>36</v>
      </c>
      <c r="AE6" t="s">
        <v>7</v>
      </c>
      <c r="AG6" s="88"/>
      <c r="AH6" s="88" t="s">
        <v>123</v>
      </c>
      <c r="AI6" s="88" t="s">
        <v>36</v>
      </c>
      <c r="AJ6" s="88" t="s">
        <v>7</v>
      </c>
      <c r="AK6" s="21"/>
      <c r="AL6" s="21"/>
      <c r="AM6" s="21"/>
      <c r="AN6" s="21"/>
    </row>
    <row r="7" spans="1:50" x14ac:dyDescent="0.3">
      <c r="A7" s="1">
        <v>4</v>
      </c>
      <c r="B7" s="48">
        <v>45325</v>
      </c>
      <c r="C7" s="1">
        <v>0.33410000000000001</v>
      </c>
      <c r="D7" s="1">
        <f t="shared" si="0"/>
        <v>13.364000000000001</v>
      </c>
      <c r="E7" s="1"/>
      <c r="F7" s="1"/>
      <c r="I7" s="73" t="s">
        <v>103</v>
      </c>
      <c r="J7" s="69">
        <v>5.2286999999999999</v>
      </c>
      <c r="L7" s="35" t="s">
        <v>43</v>
      </c>
      <c r="M7" s="51">
        <f>J41</f>
        <v>73.42</v>
      </c>
      <c r="N7" s="180"/>
      <c r="O7" s="176"/>
      <c r="Q7" s="45" t="s">
        <v>62</v>
      </c>
      <c r="R7" s="32">
        <v>36.83</v>
      </c>
      <c r="S7" s="171">
        <f>AVERAGE(R7:R9)</f>
        <v>36.32</v>
      </c>
      <c r="T7" s="171">
        <f>_xlfn.STDEV.P(R7:R9)</f>
        <v>0.36887215490826453</v>
      </c>
      <c r="U7" s="32">
        <f>100-R7</f>
        <v>63.17</v>
      </c>
      <c r="V7" s="171">
        <f>AVERAGE(U7:U9)</f>
        <v>63.680000000000007</v>
      </c>
      <c r="W7" s="177">
        <f>_xlfn.STDEV.P(U7:U9)</f>
        <v>0.36887215490826453</v>
      </c>
      <c r="Y7" s="45" t="s">
        <v>78</v>
      </c>
      <c r="Z7" s="32">
        <v>57.91</v>
      </c>
      <c r="AA7" s="171">
        <f>AVERAGE(Z7:Z9)</f>
        <v>58.15</v>
      </c>
      <c r="AB7" s="171">
        <f>_xlfn.STDEV.P(Z7:Z9)</f>
        <v>0.24711670657134427</v>
      </c>
      <c r="AC7" s="32">
        <f>100-Z7</f>
        <v>42.09</v>
      </c>
      <c r="AD7" s="171">
        <f>AVERAGE(AC7:AC9)</f>
        <v>41.85</v>
      </c>
      <c r="AE7" s="177">
        <f>_xlfn.STDEV.P(AC7:AC9)</f>
        <v>0.24711670657134427</v>
      </c>
      <c r="AG7" s="90" t="s">
        <v>138</v>
      </c>
      <c r="AH7" s="91">
        <f>AC2/M23*100</f>
        <v>46.077310485079146</v>
      </c>
      <c r="AI7" s="166">
        <f>AVERAGE(AH7:AH9)</f>
        <v>36.228626733069724</v>
      </c>
      <c r="AJ7" s="163">
        <f>_xlfn.STDEV.P(AH7:AH9)</f>
        <v>7.1625184096848287</v>
      </c>
      <c r="AK7" s="81"/>
      <c r="AL7" s="21"/>
      <c r="AM7" s="81"/>
      <c r="AN7" s="81"/>
    </row>
    <row r="8" spans="1:50" x14ac:dyDescent="0.3">
      <c r="A8" s="1">
        <v>5</v>
      </c>
      <c r="B8" s="48">
        <v>45326</v>
      </c>
      <c r="C8" s="1">
        <v>0.27760000000000001</v>
      </c>
      <c r="D8" s="1">
        <f t="shared" si="0"/>
        <v>11.104000000000001</v>
      </c>
      <c r="E8" s="1"/>
      <c r="F8" s="1"/>
      <c r="L8" s="36" t="s">
        <v>51</v>
      </c>
      <c r="M8" s="49">
        <v>4.8600000000000003</v>
      </c>
      <c r="N8" s="171">
        <f>AVERAGE(M8:M10)</f>
        <v>4.8600000000000003</v>
      </c>
      <c r="O8" s="177">
        <f>_xlfn.STDEV.P(M8:M10)</f>
        <v>0</v>
      </c>
      <c r="Q8" s="46" t="s">
        <v>63</v>
      </c>
      <c r="R8" s="21">
        <v>36.159999999999997</v>
      </c>
      <c r="S8" s="172"/>
      <c r="T8" s="172"/>
      <c r="U8" s="21">
        <f t="shared" ref="U8:U15" si="1">100-R8</f>
        <v>63.84</v>
      </c>
      <c r="V8" s="172"/>
      <c r="W8" s="178"/>
      <c r="Y8" s="46" t="s">
        <v>79</v>
      </c>
      <c r="Z8" s="21">
        <v>58.49</v>
      </c>
      <c r="AA8" s="172"/>
      <c r="AB8" s="172"/>
      <c r="AC8" s="21">
        <f t="shared" ref="AC8:AC15" si="2">100-Z8</f>
        <v>41.51</v>
      </c>
      <c r="AD8" s="172"/>
      <c r="AE8" s="178"/>
      <c r="AG8" s="92" t="s">
        <v>139</v>
      </c>
      <c r="AH8" s="93">
        <f t="shared" ref="AH8:AH9" si="3">AC3/M24*100</f>
        <v>29.253656607408256</v>
      </c>
      <c r="AI8" s="167"/>
      <c r="AJ8" s="164"/>
      <c r="AK8" s="81"/>
      <c r="AL8" s="21"/>
      <c r="AM8" s="81"/>
      <c r="AN8" s="81"/>
    </row>
    <row r="9" spans="1:50" x14ac:dyDescent="0.3">
      <c r="A9" s="1">
        <v>6</v>
      </c>
      <c r="B9" s="48">
        <v>45327</v>
      </c>
      <c r="C9" s="1">
        <v>0.35299999999999998</v>
      </c>
      <c r="D9" s="1">
        <f t="shared" si="0"/>
        <v>14.12</v>
      </c>
      <c r="E9" s="1"/>
      <c r="F9" s="1"/>
      <c r="I9" s="74" t="s">
        <v>122</v>
      </c>
      <c r="J9">
        <v>2.5000000000000001E-2</v>
      </c>
      <c r="L9" s="34" t="s">
        <v>52</v>
      </c>
      <c r="M9" s="56">
        <v>4.8600000000000003</v>
      </c>
      <c r="N9" s="172"/>
      <c r="O9" s="178"/>
      <c r="Q9" s="47" t="s">
        <v>64</v>
      </c>
      <c r="R9" s="10">
        <v>35.97</v>
      </c>
      <c r="S9" s="173"/>
      <c r="T9" s="173"/>
      <c r="U9" s="10">
        <f t="shared" si="1"/>
        <v>64.03</v>
      </c>
      <c r="V9" s="173"/>
      <c r="W9" s="179"/>
      <c r="Y9" s="47" t="s">
        <v>80</v>
      </c>
      <c r="Z9" s="10">
        <v>58.05</v>
      </c>
      <c r="AA9" s="173"/>
      <c r="AB9" s="173"/>
      <c r="AC9" s="10">
        <f t="shared" si="2"/>
        <v>41.95</v>
      </c>
      <c r="AD9" s="173"/>
      <c r="AE9" s="179"/>
      <c r="AG9" s="94" t="s">
        <v>140</v>
      </c>
      <c r="AH9" s="95">
        <f t="shared" si="3"/>
        <v>33.354913106721781</v>
      </c>
      <c r="AI9" s="168"/>
      <c r="AJ9" s="165"/>
      <c r="AK9" s="81"/>
      <c r="AL9" s="21"/>
      <c r="AM9" s="81"/>
      <c r="AN9" s="81"/>
    </row>
    <row r="10" spans="1:50" x14ac:dyDescent="0.3">
      <c r="A10" s="1">
        <v>7</v>
      </c>
      <c r="B10" s="48">
        <v>45328</v>
      </c>
      <c r="C10" s="1">
        <v>0.4178</v>
      </c>
      <c r="D10" s="1">
        <f t="shared" si="0"/>
        <v>16.712</v>
      </c>
      <c r="E10" s="1"/>
      <c r="F10" s="1"/>
      <c r="L10" s="35" t="s">
        <v>53</v>
      </c>
      <c r="M10" s="51">
        <v>4.8600000000000003</v>
      </c>
      <c r="N10" s="173"/>
      <c r="O10" s="179"/>
      <c r="Q10" s="45" t="s">
        <v>65</v>
      </c>
      <c r="R10" s="32">
        <v>34.35</v>
      </c>
      <c r="S10" s="171">
        <f>AVERAGE(R10:R12)</f>
        <v>32.35</v>
      </c>
      <c r="T10" s="171">
        <f>_xlfn.STDEV.P(R10:R12)</f>
        <v>1.6289260265586043</v>
      </c>
      <c r="U10" s="32">
        <f t="shared" si="1"/>
        <v>65.650000000000006</v>
      </c>
      <c r="V10" s="171">
        <f>AVERAGE(U10:U12)</f>
        <v>67.649999999999991</v>
      </c>
      <c r="W10" s="177">
        <f>_xlfn.STDEV.P(U10:U12)</f>
        <v>1.6289260265586012</v>
      </c>
      <c r="Y10" s="45" t="s">
        <v>81</v>
      </c>
      <c r="Z10" s="32">
        <v>56.8</v>
      </c>
      <c r="AA10" s="171">
        <f>AVERAGE(Z10:Z12)</f>
        <v>57.04666666666666</v>
      </c>
      <c r="AB10" s="171">
        <f>_xlfn.STDEV.P(Z10:Z12)</f>
        <v>0.18624953392932145</v>
      </c>
      <c r="AC10" s="32">
        <f t="shared" si="2"/>
        <v>43.2</v>
      </c>
      <c r="AD10" s="171">
        <f>AVERAGE(AC10:AC12)</f>
        <v>42.95333333333334</v>
      </c>
      <c r="AE10" s="177">
        <f>_xlfn.STDEV.P(AC10:AC12)</f>
        <v>0.18624953392932145</v>
      </c>
      <c r="AG10" s="21"/>
      <c r="AH10" s="21"/>
      <c r="AI10" s="21"/>
      <c r="AJ10" s="21"/>
      <c r="AK10" s="21"/>
      <c r="AL10" s="21"/>
      <c r="AM10" s="21"/>
      <c r="AN10" s="21"/>
    </row>
    <row r="11" spans="1:50" x14ac:dyDescent="0.3">
      <c r="A11" s="1">
        <v>8</v>
      </c>
      <c r="B11" s="48">
        <v>45329</v>
      </c>
      <c r="C11" s="1">
        <v>0.43290000000000001</v>
      </c>
      <c r="D11" s="1">
        <f t="shared" si="0"/>
        <v>17.316000000000003</v>
      </c>
      <c r="E11" s="1"/>
      <c r="F11" s="1"/>
      <c r="L11" s="36" t="s">
        <v>54</v>
      </c>
      <c r="M11" s="49">
        <f>J6</f>
        <v>4.8600000000000003</v>
      </c>
      <c r="N11" s="171">
        <f>AVERAGE(M11:M13)</f>
        <v>4.8600000000000003</v>
      </c>
      <c r="O11" s="177">
        <f>_xlfn.STDEV.P(M11:M13)</f>
        <v>0</v>
      </c>
      <c r="Q11" s="46" t="s">
        <v>66</v>
      </c>
      <c r="R11" s="21">
        <v>32.340000000000003</v>
      </c>
      <c r="S11" s="172"/>
      <c r="T11" s="172"/>
      <c r="U11" s="21">
        <f t="shared" si="1"/>
        <v>67.66</v>
      </c>
      <c r="V11" s="172"/>
      <c r="W11" s="178"/>
      <c r="Y11" s="46" t="s">
        <v>82</v>
      </c>
      <c r="Z11" s="21">
        <v>57.09</v>
      </c>
      <c r="AA11" s="172"/>
      <c r="AB11" s="172"/>
      <c r="AC11" s="21">
        <f t="shared" si="2"/>
        <v>42.91</v>
      </c>
      <c r="AD11" s="172"/>
      <c r="AE11" s="178"/>
      <c r="AH11" s="88" t="s">
        <v>141</v>
      </c>
      <c r="AI11" s="88" t="s">
        <v>36</v>
      </c>
      <c r="AJ11" s="88" t="s">
        <v>7</v>
      </c>
      <c r="AK11" s="21"/>
      <c r="AL11" s="21"/>
      <c r="AM11" s="21"/>
      <c r="AN11" s="21"/>
    </row>
    <row r="12" spans="1:50" x14ac:dyDescent="0.3">
      <c r="A12" s="1">
        <v>9</v>
      </c>
      <c r="B12" s="48">
        <v>45330</v>
      </c>
      <c r="C12" s="1">
        <v>0.32379999999999998</v>
      </c>
      <c r="D12" s="1">
        <f t="shared" si="0"/>
        <v>12.951999999999998</v>
      </c>
      <c r="E12" s="1"/>
      <c r="F12" s="1"/>
      <c r="L12" s="34" t="s">
        <v>55</v>
      </c>
      <c r="M12" s="56">
        <f>J24</f>
        <v>4.8600000000000003</v>
      </c>
      <c r="N12" s="172"/>
      <c r="O12" s="178"/>
      <c r="Q12" s="47" t="s">
        <v>67</v>
      </c>
      <c r="R12" s="10">
        <v>30.36</v>
      </c>
      <c r="S12" s="173"/>
      <c r="T12" s="173"/>
      <c r="U12" s="10">
        <f t="shared" si="1"/>
        <v>69.64</v>
      </c>
      <c r="V12" s="173"/>
      <c r="W12" s="179"/>
      <c r="Y12" s="47" t="s">
        <v>83</v>
      </c>
      <c r="Z12" s="10">
        <v>57.25</v>
      </c>
      <c r="AA12" s="173"/>
      <c r="AB12" s="173"/>
      <c r="AC12" s="10">
        <f t="shared" si="2"/>
        <v>42.75</v>
      </c>
      <c r="AD12" s="173"/>
      <c r="AE12" s="179"/>
      <c r="AG12" s="90" t="s">
        <v>142</v>
      </c>
      <c r="AH12" s="91">
        <f>(M26-R18)/M26*100</f>
        <v>37.286872566496889</v>
      </c>
      <c r="AI12" s="166">
        <f>AVERAGE(AH12:AH14)</f>
        <v>34.463707968522307</v>
      </c>
      <c r="AJ12" s="163">
        <f>_xlfn.STDEV.P(AH12:AH14)</f>
        <v>2.3741744399721449</v>
      </c>
      <c r="AK12" s="129"/>
    </row>
    <row r="13" spans="1:50" x14ac:dyDescent="0.3">
      <c r="A13" s="1">
        <v>10</v>
      </c>
      <c r="B13" s="48">
        <v>45331</v>
      </c>
      <c r="C13" s="1">
        <v>4.0968999999999998</v>
      </c>
      <c r="D13" s="1">
        <f>C13/D15*1000</f>
        <v>10.696866840731069</v>
      </c>
      <c r="E13" s="1"/>
      <c r="F13" s="1" t="s">
        <v>117</v>
      </c>
      <c r="L13" s="35" t="s">
        <v>56</v>
      </c>
      <c r="M13" s="51">
        <f>J42</f>
        <v>4.8600000000000003</v>
      </c>
      <c r="N13" s="173"/>
      <c r="O13" s="179"/>
      <c r="Q13" s="45" t="s">
        <v>68</v>
      </c>
      <c r="R13" s="32">
        <v>35.869999999999997</v>
      </c>
      <c r="S13" s="171">
        <f>AVERAGE(R13:R15)</f>
        <v>36.340000000000003</v>
      </c>
      <c r="T13" s="171">
        <f>_xlfn.STDEV.P(R13:R15)</f>
        <v>1.030760237235929</v>
      </c>
      <c r="U13" s="32">
        <f t="shared" si="1"/>
        <v>64.13</v>
      </c>
      <c r="V13" s="171">
        <f>AVERAGE(U13:U15)</f>
        <v>63.66</v>
      </c>
      <c r="W13" s="177">
        <f>_xlfn.STDEV.P(U13:U15)</f>
        <v>1.0307602372359301</v>
      </c>
      <c r="Y13" s="45" t="s">
        <v>84</v>
      </c>
      <c r="Z13" s="32">
        <v>57.84</v>
      </c>
      <c r="AA13" s="171">
        <f>AVERAGE(Z13:Z15)</f>
        <v>58.73</v>
      </c>
      <c r="AB13" s="171">
        <f>_xlfn.STDEV.P(Z13:Z15)</f>
        <v>0.63092524649649495</v>
      </c>
      <c r="AC13" s="32">
        <f t="shared" si="2"/>
        <v>42.16</v>
      </c>
      <c r="AD13" s="171">
        <f>AVERAGE(AC13:AC15)</f>
        <v>41.27</v>
      </c>
      <c r="AE13" s="177">
        <f>_xlfn.STDEV.P(AC13:AC15)</f>
        <v>0.63092524649649495</v>
      </c>
      <c r="AG13" s="92" t="s">
        <v>143</v>
      </c>
      <c r="AH13" s="93">
        <f t="shared" ref="AH13:AH14" si="4">(M27-R19)/M27*100</f>
        <v>31.478161677989203</v>
      </c>
      <c r="AI13" s="167"/>
      <c r="AJ13" s="164"/>
      <c r="AK13" s="129"/>
    </row>
    <row r="14" spans="1:50" x14ac:dyDescent="0.3">
      <c r="L14" s="36" t="s">
        <v>44</v>
      </c>
      <c r="M14" s="49">
        <f>M5+M11</f>
        <v>78.28</v>
      </c>
      <c r="N14" s="171">
        <f>AVERAGE(M14:M16)</f>
        <v>78.28</v>
      </c>
      <c r="O14" s="177">
        <f>_xlfn.STDEV.P(M14:M16)</f>
        <v>0</v>
      </c>
      <c r="Q14" s="46" t="s">
        <v>69</v>
      </c>
      <c r="R14" s="21">
        <v>37.770000000000003</v>
      </c>
      <c r="S14" s="172"/>
      <c r="T14" s="172"/>
      <c r="U14" s="21">
        <f t="shared" si="1"/>
        <v>62.23</v>
      </c>
      <c r="V14" s="172"/>
      <c r="W14" s="178"/>
      <c r="Y14" s="46" t="s">
        <v>85</v>
      </c>
      <c r="Z14" s="21">
        <v>59.12</v>
      </c>
      <c r="AA14" s="172"/>
      <c r="AB14" s="172"/>
      <c r="AC14" s="21">
        <f t="shared" si="2"/>
        <v>40.880000000000003</v>
      </c>
      <c r="AD14" s="172"/>
      <c r="AE14" s="178"/>
      <c r="AG14" s="94" t="s">
        <v>144</v>
      </c>
      <c r="AH14" s="95">
        <f t="shared" si="4"/>
        <v>34.626089661080847</v>
      </c>
      <c r="AI14" s="168"/>
      <c r="AJ14" s="165"/>
      <c r="AK14" s="129"/>
      <c r="AL14" s="89"/>
      <c r="AM14" s="89"/>
    </row>
    <row r="15" spans="1:50" x14ac:dyDescent="0.3">
      <c r="A15" s="53">
        <v>855</v>
      </c>
      <c r="B15" t="s">
        <v>119</v>
      </c>
      <c r="C15" t="s">
        <v>50</v>
      </c>
      <c r="D15" s="41">
        <v>383</v>
      </c>
      <c r="E15" t="s">
        <v>133</v>
      </c>
      <c r="F15">
        <v>11</v>
      </c>
      <c r="L15" s="34" t="s">
        <v>45</v>
      </c>
      <c r="M15" s="50">
        <f>M6+M12</f>
        <v>78.28</v>
      </c>
      <c r="N15" s="172"/>
      <c r="O15" s="178"/>
      <c r="Q15" s="47" t="s">
        <v>70</v>
      </c>
      <c r="R15" s="10">
        <v>35.380000000000003</v>
      </c>
      <c r="S15" s="173"/>
      <c r="T15" s="173"/>
      <c r="U15" s="10">
        <f t="shared" si="1"/>
        <v>64.62</v>
      </c>
      <c r="V15" s="173"/>
      <c r="W15" s="179"/>
      <c r="Y15" s="47" t="s">
        <v>86</v>
      </c>
      <c r="Z15" s="10">
        <v>59.23</v>
      </c>
      <c r="AA15" s="173"/>
      <c r="AB15" s="173"/>
      <c r="AC15" s="10">
        <f t="shared" si="2"/>
        <v>40.770000000000003</v>
      </c>
      <c r="AD15" s="173"/>
      <c r="AE15" s="179"/>
    </row>
    <row r="16" spans="1:50" x14ac:dyDescent="0.3">
      <c r="A16" s="54">
        <v>25</v>
      </c>
      <c r="B16" t="s">
        <v>118</v>
      </c>
      <c r="C16" t="s">
        <v>74</v>
      </c>
      <c r="D16" s="41">
        <v>21.05</v>
      </c>
      <c r="L16" s="35" t="s">
        <v>46</v>
      </c>
      <c r="M16" s="51">
        <f>M7+M13</f>
        <v>78.28</v>
      </c>
      <c r="N16" s="173"/>
      <c r="O16" s="179"/>
      <c r="AH16" s="96" t="s">
        <v>145</v>
      </c>
      <c r="AI16" s="89" t="s">
        <v>36</v>
      </c>
      <c r="AJ16" s="89" t="s">
        <v>7</v>
      </c>
      <c r="AL16" s="89"/>
      <c r="AM16" s="89"/>
    </row>
    <row r="17" spans="1:45" x14ac:dyDescent="0.3">
      <c r="L17" s="33" t="s">
        <v>106</v>
      </c>
      <c r="M17" s="49">
        <v>5.2281825</v>
      </c>
      <c r="N17" s="169">
        <f>AVERAGE(M17:M19)</f>
        <v>5.2281825</v>
      </c>
      <c r="O17" s="174">
        <f>_xlfn.STDEV.P(M17:M19)</f>
        <v>0</v>
      </c>
      <c r="R17" t="s">
        <v>61</v>
      </c>
      <c r="S17" t="s">
        <v>36</v>
      </c>
      <c r="T17" t="s">
        <v>7</v>
      </c>
      <c r="Z17" t="s">
        <v>61</v>
      </c>
      <c r="AA17" t="s">
        <v>36</v>
      </c>
      <c r="AB17" t="s">
        <v>7</v>
      </c>
      <c r="AG17" s="90" t="s">
        <v>182</v>
      </c>
      <c r="AH17" s="32">
        <f>AH12/10</f>
        <v>3.7286872566496889</v>
      </c>
      <c r="AI17" s="154">
        <f>AVERAGE(AH17:AH19)</f>
        <v>3.4463707968522308</v>
      </c>
      <c r="AJ17" s="157">
        <f>_xlfn.STDEV.P(AH17:AH19)</f>
        <v>0.23741744399721448</v>
      </c>
    </row>
    <row r="18" spans="1:45" x14ac:dyDescent="0.3">
      <c r="L18" s="34" t="s">
        <v>107</v>
      </c>
      <c r="M18" s="50">
        <v>5.2281825</v>
      </c>
      <c r="N18" s="170"/>
      <c r="O18" s="175"/>
      <c r="Q18" s="42" t="s">
        <v>71</v>
      </c>
      <c r="R18" s="32">
        <f>R2*(V7/100)</f>
        <v>13.404640000000001</v>
      </c>
      <c r="S18" s="171">
        <f>AVERAGE(R18:R20)</f>
        <v>14.00807833333333</v>
      </c>
      <c r="T18" s="177">
        <f>_xlfn.STDEV.P(R18:R20)</f>
        <v>0.50746877037464444</v>
      </c>
      <c r="Y18" s="42" t="s">
        <v>87</v>
      </c>
      <c r="Z18" s="32">
        <f>Z2*(AD7/100)</f>
        <v>1.7637956765013056</v>
      </c>
      <c r="AA18" s="171">
        <f>AVERAGE(Z18:Z20)</f>
        <v>1.3099346297968835</v>
      </c>
      <c r="AB18" s="177">
        <f>_xlfn.STDEV.P(Z18:Z20)</f>
        <v>0.32933335247913509</v>
      </c>
      <c r="AC18" s="187" t="s">
        <v>90</v>
      </c>
      <c r="AG18" s="92" t="s">
        <v>183</v>
      </c>
      <c r="AH18" s="21">
        <f t="shared" ref="AH18:AH19" si="5">AH13/10</f>
        <v>3.1478161677989203</v>
      </c>
      <c r="AI18" s="155"/>
      <c r="AJ18" s="158"/>
    </row>
    <row r="19" spans="1:45" x14ac:dyDescent="0.3">
      <c r="A19" s="5" t="s">
        <v>26</v>
      </c>
      <c r="L19" s="34" t="s">
        <v>108</v>
      </c>
      <c r="M19" s="50">
        <v>5.2281825</v>
      </c>
      <c r="N19" s="170"/>
      <c r="O19" s="175"/>
      <c r="Q19" s="43" t="s">
        <v>72</v>
      </c>
      <c r="R19" s="21">
        <f>R3*(V10/100)</f>
        <v>14.646224999999996</v>
      </c>
      <c r="S19" s="172"/>
      <c r="T19" s="178"/>
      <c r="Y19" s="43" t="s">
        <v>88</v>
      </c>
      <c r="Z19" s="21">
        <f>Z3*(AD10/100)</f>
        <v>0.99245965163934446</v>
      </c>
      <c r="AA19" s="172"/>
      <c r="AB19" s="178"/>
      <c r="AC19" s="187"/>
      <c r="AG19" s="94" t="s">
        <v>184</v>
      </c>
      <c r="AH19" s="10">
        <f t="shared" si="5"/>
        <v>3.4626089661080846</v>
      </c>
      <c r="AI19" s="156"/>
      <c r="AJ19" s="159"/>
    </row>
    <row r="20" spans="1:45" x14ac:dyDescent="0.3">
      <c r="A20" s="52" t="s">
        <v>22</v>
      </c>
      <c r="B20" s="52" t="s">
        <v>23</v>
      </c>
      <c r="C20" s="52" t="s">
        <v>32</v>
      </c>
      <c r="D20" s="52" t="s">
        <v>33</v>
      </c>
      <c r="E20" s="52" t="s">
        <v>24</v>
      </c>
      <c r="F20" s="52" t="s">
        <v>25</v>
      </c>
      <c r="I20" s="65" t="s">
        <v>28</v>
      </c>
      <c r="J20" s="70">
        <f>'Berechnungen Fütterungsmenge'!M14</f>
        <v>73.422069557750092</v>
      </c>
      <c r="L20" s="36" t="s">
        <v>109</v>
      </c>
      <c r="M20" s="49">
        <f>J7</f>
        <v>5.2286999999999999</v>
      </c>
      <c r="N20" s="169">
        <f>AVERAGE(M20:M22)</f>
        <v>5.2263999999999999</v>
      </c>
      <c r="O20" s="174">
        <f>_xlfn.STDEV.P(M20:M22)</f>
        <v>1.6673332000532561E-3</v>
      </c>
      <c r="Q20" s="44" t="s">
        <v>73</v>
      </c>
      <c r="R20" s="10">
        <f>R4*(V13/100)</f>
        <v>13.973369999999999</v>
      </c>
      <c r="S20" s="173"/>
      <c r="T20" s="179"/>
      <c r="Y20" s="44" t="s">
        <v>89</v>
      </c>
      <c r="Z20" s="10">
        <f>Z4*(AD13/100)</f>
        <v>1.1735485612500001</v>
      </c>
      <c r="AA20" s="173"/>
      <c r="AB20" s="179"/>
      <c r="AC20" s="187"/>
    </row>
    <row r="21" spans="1:45" x14ac:dyDescent="0.3">
      <c r="A21" s="1">
        <v>0</v>
      </c>
      <c r="B21" s="48">
        <v>45321</v>
      </c>
      <c r="C21" s="1">
        <v>5.2256999999999998</v>
      </c>
      <c r="D21" s="1">
        <f>C21/A33*1000</f>
        <v>6.1119298245614031</v>
      </c>
      <c r="E21" s="1"/>
      <c r="F21" s="1" t="s">
        <v>116</v>
      </c>
      <c r="I21" s="66" t="s">
        <v>34</v>
      </c>
      <c r="J21" s="71">
        <f>'Berechnungen Fütterungsmenge'!M23</f>
        <v>4.8599795369282637</v>
      </c>
      <c r="L21" s="34" t="s">
        <v>110</v>
      </c>
      <c r="M21" s="50">
        <f>J25</f>
        <v>5.2256999999999998</v>
      </c>
      <c r="N21" s="170"/>
      <c r="O21" s="175"/>
      <c r="Y21" s="42" t="s">
        <v>91</v>
      </c>
      <c r="Z21" s="32">
        <f>M20</f>
        <v>5.2286999999999999</v>
      </c>
      <c r="AA21" s="171">
        <f>AVERAGE(Z21:Z23)</f>
        <v>5.2263999999999999</v>
      </c>
      <c r="AB21" s="177">
        <f>_xlfn.STDEV.P(Z21:Z23)</f>
        <v>1.6673332000532561E-3</v>
      </c>
      <c r="AH21" s="85" t="s">
        <v>172</v>
      </c>
      <c r="AI21" s="89" t="s">
        <v>36</v>
      </c>
      <c r="AJ21" s="89" t="s">
        <v>7</v>
      </c>
    </row>
    <row r="22" spans="1:45" x14ac:dyDescent="0.3">
      <c r="A22" s="1">
        <v>1</v>
      </c>
      <c r="B22" s="48">
        <v>45322</v>
      </c>
      <c r="C22" s="1">
        <v>0.17560000000000001</v>
      </c>
      <c r="D22" s="1">
        <f>C22/A$16*1000</f>
        <v>7.024</v>
      </c>
      <c r="E22" s="1"/>
      <c r="F22" s="1"/>
      <c r="I22" s="67" t="s">
        <v>104</v>
      </c>
      <c r="J22" s="72">
        <f>'Berechnungen Fütterungsmenge'!F22</f>
        <v>5.2281824999999991</v>
      </c>
      <c r="L22" s="35" t="s">
        <v>111</v>
      </c>
      <c r="M22" s="51">
        <f>J43</f>
        <v>5.2248000000000001</v>
      </c>
      <c r="N22" s="180"/>
      <c r="O22" s="176"/>
      <c r="Y22" s="43" t="s">
        <v>92</v>
      </c>
      <c r="Z22" s="21">
        <f t="shared" ref="Z22:Z23" si="6">M21</f>
        <v>5.2256999999999998</v>
      </c>
      <c r="AA22" s="172"/>
      <c r="AB22" s="178"/>
      <c r="AC22" t="s">
        <v>94</v>
      </c>
      <c r="AD22">
        <v>22.966666666666665</v>
      </c>
      <c r="AG22" s="90" t="s">
        <v>147</v>
      </c>
      <c r="AH22" s="32">
        <f>Z27/(M26-R18)</f>
        <v>7.0632989000271207E-2</v>
      </c>
      <c r="AI22" s="154">
        <f>AVERAGE(AH22:AH24)</f>
        <v>1.2064383139288008E-2</v>
      </c>
      <c r="AJ22" s="157">
        <f>_xlfn.STDEV.P(AH22:AH24)</f>
        <v>4.2887933106788095E-2</v>
      </c>
    </row>
    <row r="23" spans="1:45" x14ac:dyDescent="0.3">
      <c r="A23" s="1">
        <v>2</v>
      </c>
      <c r="B23" s="48">
        <v>45323</v>
      </c>
      <c r="C23" s="1">
        <v>0.23810000000000001</v>
      </c>
      <c r="D23" s="1">
        <f t="shared" ref="D23:D30" si="7">C23/A$16*1000</f>
        <v>9.5239999999999991</v>
      </c>
      <c r="E23" s="1"/>
      <c r="F23" s="1"/>
      <c r="I23" s="66" t="s">
        <v>30</v>
      </c>
      <c r="J23" s="68">
        <v>73.42</v>
      </c>
      <c r="L23" s="36" t="s">
        <v>124</v>
      </c>
      <c r="M23" s="75">
        <f>M20/'Berechnungen Fütterungsmenge'!$F$21</f>
        <v>855.08463027065341</v>
      </c>
      <c r="N23" s="169">
        <f>AVERAGE(M23:M25)</f>
        <v>854.70849573441649</v>
      </c>
      <c r="O23" s="174">
        <f>_xlfn.STDEV.P(M23:M25)</f>
        <v>0.27267026084981544</v>
      </c>
      <c r="Y23" s="44" t="s">
        <v>93</v>
      </c>
      <c r="Z23" s="10">
        <f t="shared" si="6"/>
        <v>5.2248000000000001</v>
      </c>
      <c r="AA23" s="173"/>
      <c r="AB23" s="179"/>
      <c r="AG23" s="92" t="s">
        <v>148</v>
      </c>
      <c r="AH23" s="21">
        <f t="shared" ref="AH23:AH24" si="8">Z28/(M27-R19)</f>
        <v>-3.0870964252492965E-2</v>
      </c>
      <c r="AI23" s="155"/>
      <c r="AJ23" s="158"/>
    </row>
    <row r="24" spans="1:45" x14ac:dyDescent="0.3">
      <c r="A24" s="1">
        <v>3</v>
      </c>
      <c r="B24" s="48">
        <v>45324</v>
      </c>
      <c r="C24" s="1">
        <v>0.25169999999999998</v>
      </c>
      <c r="D24" s="1">
        <f t="shared" si="7"/>
        <v>10.068</v>
      </c>
      <c r="E24" s="1"/>
      <c r="F24" s="1"/>
      <c r="I24" s="66" t="s">
        <v>35</v>
      </c>
      <c r="J24" s="68">
        <v>4.8600000000000003</v>
      </c>
      <c r="L24" s="34" t="s">
        <v>125</v>
      </c>
      <c r="M24" s="76">
        <f>M21/'Berechnungen Fütterungsmenge'!$F$21</f>
        <v>854.59402000599641</v>
      </c>
      <c r="N24" s="170"/>
      <c r="O24" s="175"/>
      <c r="Y24" s="42" t="s">
        <v>95</v>
      </c>
      <c r="Z24" s="32">
        <f>Z21*(AD22/100)</f>
        <v>1.2008581</v>
      </c>
      <c r="AA24" s="171">
        <f>AVERAGE(Z24:Z26)</f>
        <v>1.2003298666666666</v>
      </c>
      <c r="AB24" s="177">
        <f>_xlfn.STDEV.P(Z24:Z26)</f>
        <v>3.8293085827894961E-4</v>
      </c>
      <c r="AG24" s="94" t="s">
        <v>149</v>
      </c>
      <c r="AH24" s="10">
        <f t="shared" si="8"/>
        <v>-3.5688753299142196E-3</v>
      </c>
      <c r="AI24" s="156"/>
      <c r="AJ24" s="159"/>
    </row>
    <row r="25" spans="1:45" x14ac:dyDescent="0.3">
      <c r="A25" s="1">
        <v>4</v>
      </c>
      <c r="B25" s="48">
        <v>45325</v>
      </c>
      <c r="C25" s="1">
        <v>0.29630000000000001</v>
      </c>
      <c r="D25" s="1">
        <f t="shared" si="7"/>
        <v>11.852</v>
      </c>
      <c r="E25" s="1"/>
      <c r="F25" s="1"/>
      <c r="I25" s="73" t="s">
        <v>103</v>
      </c>
      <c r="J25" s="69">
        <v>5.2256999999999998</v>
      </c>
      <c r="L25" s="35" t="s">
        <v>126</v>
      </c>
      <c r="M25" s="77">
        <f>M22/'Berechnungen Fütterungsmenge'!$F$21</f>
        <v>854.44683692659942</v>
      </c>
      <c r="N25" s="180"/>
      <c r="O25" s="176"/>
      <c r="Y25" s="43" t="s">
        <v>96</v>
      </c>
      <c r="Z25" s="21">
        <f>Z22*(AD22/100)</f>
        <v>1.2001690999999999</v>
      </c>
      <c r="AA25" s="172"/>
      <c r="AB25" s="178"/>
    </row>
    <row r="26" spans="1:45" x14ac:dyDescent="0.3">
      <c r="A26" s="1">
        <v>5</v>
      </c>
      <c r="B26" s="48">
        <v>45326</v>
      </c>
      <c r="C26" s="1">
        <v>0.31040000000000001</v>
      </c>
      <c r="D26" s="1">
        <f t="shared" si="7"/>
        <v>12.416</v>
      </c>
      <c r="E26" s="1"/>
      <c r="F26" s="1"/>
      <c r="L26" s="36" t="s">
        <v>127</v>
      </c>
      <c r="M26" s="49">
        <f>M5*('Berechnungen Fütterungsmenge'!$F$5/100)+M11*('Berechnungen Fütterungsmenge'!$F$10/100)</f>
        <v>21.374536000000003</v>
      </c>
      <c r="N26" s="171">
        <f>AVERAGE(M26:M28)</f>
        <v>21.374536000000003</v>
      </c>
      <c r="O26" s="177">
        <f>_xlfn.STDEV.P(M26:M28)</f>
        <v>0</v>
      </c>
      <c r="Y26" s="44" t="s">
        <v>97</v>
      </c>
      <c r="Z26" s="10">
        <f>Z23*(AD22/100)</f>
        <v>1.1999624</v>
      </c>
      <c r="AA26" s="173"/>
      <c r="AB26" s="179"/>
      <c r="AH26" s="85" t="s">
        <v>150</v>
      </c>
      <c r="AI26" s="89" t="s">
        <v>36</v>
      </c>
      <c r="AJ26" s="89" t="s">
        <v>7</v>
      </c>
      <c r="AK26" s="130"/>
      <c r="AL26" s="130"/>
      <c r="AM26" s="130"/>
      <c r="AN26" s="130"/>
      <c r="AO26" s="130"/>
      <c r="AP26" s="130"/>
      <c r="AQ26" s="130"/>
      <c r="AR26" s="133"/>
      <c r="AS26" s="133"/>
    </row>
    <row r="27" spans="1:45" ht="14.4" customHeight="1" x14ac:dyDescent="0.3">
      <c r="A27" s="1">
        <v>6</v>
      </c>
      <c r="B27" s="48">
        <v>45327</v>
      </c>
      <c r="C27" s="1">
        <v>0.28349999999999997</v>
      </c>
      <c r="D27" s="1">
        <f t="shared" si="7"/>
        <v>11.34</v>
      </c>
      <c r="E27" s="1"/>
      <c r="F27" s="1"/>
      <c r="L27" s="34" t="s">
        <v>128</v>
      </c>
      <c r="M27" s="50">
        <f>M6*('Berechnungen Fütterungsmenge'!$F$5/100)+M12*('Berechnungen Fütterungsmenge'!$F$10/100)</f>
        <v>21.374536000000003</v>
      </c>
      <c r="N27" s="172"/>
      <c r="O27" s="178"/>
      <c r="Y27" s="42" t="s">
        <v>98</v>
      </c>
      <c r="Z27" s="32">
        <f>Z18-Z24</f>
        <v>0.5629375765013056</v>
      </c>
      <c r="AA27" s="171">
        <f>AVERAGE(Z27:Z29)</f>
        <v>0.10960476313021676</v>
      </c>
      <c r="AB27" s="177">
        <f>_xlfn.STDEV.P(Z27:Z29)</f>
        <v>0.3289883526562753</v>
      </c>
      <c r="AG27" s="90" t="s">
        <v>151</v>
      </c>
      <c r="AH27" s="32">
        <f>(Z18-Z24)/10</f>
        <v>5.629375765013056E-2</v>
      </c>
      <c r="AI27" s="154">
        <f>AVERAGE(AH27:AH29)</f>
        <v>1.0960476313021675E-2</v>
      </c>
      <c r="AJ27" s="154">
        <f>_xlfn.STDEV.P(AH27:AH29)</f>
        <v>3.2898835265627528E-2</v>
      </c>
      <c r="AK27" s="132"/>
      <c r="AL27" s="132"/>
      <c r="AM27" s="132"/>
      <c r="AN27" s="132"/>
      <c r="AO27" s="132"/>
      <c r="AP27" s="134"/>
      <c r="AQ27" s="130"/>
      <c r="AR27" s="135"/>
      <c r="AS27" s="135"/>
    </row>
    <row r="28" spans="1:45" x14ac:dyDescent="0.3">
      <c r="A28" s="1">
        <v>7</v>
      </c>
      <c r="B28" s="48">
        <v>45328</v>
      </c>
      <c r="C28" s="1">
        <v>0.42270000000000002</v>
      </c>
      <c r="D28" s="1">
        <f t="shared" si="7"/>
        <v>16.907999999999998</v>
      </c>
      <c r="E28" s="1"/>
      <c r="F28" s="1"/>
      <c r="L28" s="35" t="s">
        <v>129</v>
      </c>
      <c r="M28" s="51">
        <f>M7*('Berechnungen Fütterungsmenge'!$F$5/100)+M13*('Berechnungen Fütterungsmenge'!$F$10/100)</f>
        <v>21.374536000000003</v>
      </c>
      <c r="N28" s="173"/>
      <c r="O28" s="179"/>
      <c r="Y28" s="43" t="s">
        <v>99</v>
      </c>
      <c r="Z28" s="21">
        <f>Z19-Z25</f>
        <v>-0.20770944836065541</v>
      </c>
      <c r="AA28" s="172"/>
      <c r="AB28" s="178"/>
      <c r="AG28" s="92" t="s">
        <v>152</v>
      </c>
      <c r="AH28" s="21">
        <f t="shared" ref="AH28:AH29" si="9">(Z19-Z25)/10</f>
        <v>-2.0770944836065543E-2</v>
      </c>
      <c r="AI28" s="155"/>
      <c r="AJ28" s="155"/>
      <c r="AK28" s="132"/>
      <c r="AL28" s="132"/>
      <c r="AM28" s="132"/>
      <c r="AN28" s="132"/>
      <c r="AO28" s="132"/>
      <c r="AP28" s="134"/>
      <c r="AQ28" s="130"/>
      <c r="AR28" s="135"/>
      <c r="AS28" s="135"/>
    </row>
    <row r="29" spans="1:45" x14ac:dyDescent="0.3">
      <c r="A29" s="1">
        <v>8</v>
      </c>
      <c r="B29" s="48">
        <v>45329</v>
      </c>
      <c r="C29" s="1">
        <v>0.31879999999999997</v>
      </c>
      <c r="D29" s="1">
        <f t="shared" si="7"/>
        <v>12.751999999999999</v>
      </c>
      <c r="E29" s="1"/>
      <c r="F29" s="1"/>
      <c r="Y29" s="44" t="s">
        <v>100</v>
      </c>
      <c r="Z29" s="10">
        <f>Z20-Z26</f>
        <v>-2.6413838749999918E-2</v>
      </c>
      <c r="AA29" s="173"/>
      <c r="AB29" s="179"/>
      <c r="AG29" s="94" t="s">
        <v>153</v>
      </c>
      <c r="AH29" s="10">
        <f t="shared" si="9"/>
        <v>-2.6413838749999919E-3</v>
      </c>
      <c r="AI29" s="156"/>
      <c r="AJ29" s="156"/>
      <c r="AK29" s="132"/>
      <c r="AL29" s="132"/>
      <c r="AM29" s="132"/>
      <c r="AN29" s="132"/>
      <c r="AO29" s="132"/>
      <c r="AP29" s="134"/>
      <c r="AQ29" s="130"/>
      <c r="AR29" s="135"/>
      <c r="AS29" s="135"/>
    </row>
    <row r="30" spans="1:45" x14ac:dyDescent="0.3">
      <c r="A30" s="1">
        <v>9</v>
      </c>
      <c r="B30" s="48">
        <v>45330</v>
      </c>
      <c r="C30" s="1">
        <v>0.36199999999999999</v>
      </c>
      <c r="D30" s="1">
        <f t="shared" si="7"/>
        <v>14.48</v>
      </c>
      <c r="E30" s="1"/>
      <c r="F30" s="1"/>
    </row>
    <row r="31" spans="1:45" ht="43.2" x14ac:dyDescent="0.3">
      <c r="A31" s="1">
        <v>10</v>
      </c>
      <c r="B31" s="48">
        <v>45331</v>
      </c>
      <c r="C31" s="1">
        <v>2.2551000000000001</v>
      </c>
      <c r="D31" s="1">
        <f>C31/D33*1000</f>
        <v>9.2422131147540991</v>
      </c>
      <c r="E31" s="1"/>
      <c r="F31" s="1" t="s">
        <v>117</v>
      </c>
      <c r="AC31" s="85"/>
      <c r="AD31" s="102" t="s">
        <v>131</v>
      </c>
      <c r="AG31" s="99"/>
      <c r="AH31" s="120" t="s">
        <v>185</v>
      </c>
      <c r="AI31" s="89" t="s">
        <v>36</v>
      </c>
      <c r="AJ31" s="89" t="s">
        <v>7</v>
      </c>
      <c r="AL31" s="136"/>
    </row>
    <row r="32" spans="1:45" x14ac:dyDescent="0.3">
      <c r="AC32" s="186" t="s">
        <v>154</v>
      </c>
      <c r="AD32" s="182">
        <f>Z2/AC2</f>
        <v>1.0696866840731071E-2</v>
      </c>
      <c r="AG32" s="126" t="s">
        <v>186</v>
      </c>
      <c r="AH32" s="32">
        <f>Z27</f>
        <v>0.5629375765013056</v>
      </c>
      <c r="AI32" s="154">
        <f>AVERAGE(AH32:AH34)</f>
        <v>0.10960476313021676</v>
      </c>
      <c r="AJ32" s="157">
        <f>_xlfn.STDEV.P(AH32:AH34)</f>
        <v>0.3289883526562753</v>
      </c>
      <c r="AL32" s="137"/>
    </row>
    <row r="33" spans="1:38" x14ac:dyDescent="0.3">
      <c r="A33" s="53">
        <v>855</v>
      </c>
      <c r="B33" t="s">
        <v>119</v>
      </c>
      <c r="C33" t="s">
        <v>50</v>
      </c>
      <c r="D33" s="41">
        <v>244</v>
      </c>
      <c r="E33" t="s">
        <v>133</v>
      </c>
      <c r="F33">
        <v>6</v>
      </c>
      <c r="AC33" s="181"/>
      <c r="AD33" s="183"/>
      <c r="AG33" s="127" t="s">
        <v>187</v>
      </c>
      <c r="AH33" s="21">
        <f t="shared" ref="AH33:AH34" si="10">Z28</f>
        <v>-0.20770944836065541</v>
      </c>
      <c r="AI33" s="155"/>
      <c r="AJ33" s="158"/>
      <c r="AL33" s="137"/>
    </row>
    <row r="34" spans="1:38" x14ac:dyDescent="0.3">
      <c r="A34" s="54">
        <v>25</v>
      </c>
      <c r="B34" t="s">
        <v>118</v>
      </c>
      <c r="C34" t="s">
        <v>74</v>
      </c>
      <c r="D34" s="41">
        <v>21.65</v>
      </c>
      <c r="AC34" s="181"/>
      <c r="AD34" s="184"/>
      <c r="AG34" s="128" t="s">
        <v>188</v>
      </c>
      <c r="AH34" s="10">
        <f t="shared" si="10"/>
        <v>-2.6413838749999918E-2</v>
      </c>
      <c r="AI34" s="156"/>
      <c r="AJ34" s="159"/>
      <c r="AL34" s="137"/>
    </row>
    <row r="35" spans="1:38" x14ac:dyDescent="0.3">
      <c r="AC35" s="181" t="s">
        <v>155</v>
      </c>
      <c r="AD35" s="182">
        <f>Z3/AC3</f>
        <v>9.2422131147540994E-3</v>
      </c>
      <c r="AL35" s="138"/>
    </row>
    <row r="36" spans="1:38" x14ac:dyDescent="0.3">
      <c r="AC36" s="181"/>
      <c r="AD36" s="183"/>
      <c r="AG36" s="99"/>
      <c r="AH36" s="120" t="s">
        <v>189</v>
      </c>
      <c r="AI36" s="89" t="s">
        <v>36</v>
      </c>
      <c r="AJ36" s="89" t="s">
        <v>7</v>
      </c>
      <c r="AL36" s="138"/>
    </row>
    <row r="37" spans="1:38" x14ac:dyDescent="0.3">
      <c r="A37" s="5" t="s">
        <v>27</v>
      </c>
      <c r="AC37" s="181"/>
      <c r="AD37" s="184"/>
      <c r="AG37" s="126" t="s">
        <v>190</v>
      </c>
      <c r="AH37" s="32">
        <f>Z18*1000/AC2</f>
        <v>4.4766387728459538</v>
      </c>
      <c r="AI37" s="154">
        <f>AVERAGE(AH37:AH39)</f>
        <v>4.1880638764677771</v>
      </c>
      <c r="AJ37" s="157">
        <f>_xlfn.STDEV.P(AH37:AH39)</f>
        <v>0.21279631042485808</v>
      </c>
      <c r="AL37" s="138"/>
    </row>
    <row r="38" spans="1:38" x14ac:dyDescent="0.3">
      <c r="A38" s="52" t="s">
        <v>22</v>
      </c>
      <c r="B38" s="52" t="s">
        <v>23</v>
      </c>
      <c r="C38" s="52" t="s">
        <v>32</v>
      </c>
      <c r="D38" s="52" t="s">
        <v>33</v>
      </c>
      <c r="E38" s="52" t="s">
        <v>24</v>
      </c>
      <c r="F38" s="52" t="s">
        <v>25</v>
      </c>
      <c r="I38" s="65" t="s">
        <v>28</v>
      </c>
      <c r="J38" s="70">
        <f>'Berechnungen Fütterungsmenge'!M14</f>
        <v>73.422069557750092</v>
      </c>
      <c r="AC38" s="181" t="s">
        <v>156</v>
      </c>
      <c r="AD38" s="182">
        <f>Z4/AC4</f>
        <v>9.9775000000000003E-3</v>
      </c>
      <c r="AG38" s="127" t="s">
        <v>191</v>
      </c>
      <c r="AH38" s="21">
        <f t="shared" ref="AH38:AH39" si="11">Z19*1000/AC3</f>
        <v>3.9698386065573779</v>
      </c>
      <c r="AI38" s="155"/>
      <c r="AJ38" s="158"/>
      <c r="AL38" s="138"/>
    </row>
    <row r="39" spans="1:38" x14ac:dyDescent="0.3">
      <c r="A39" s="1">
        <v>0</v>
      </c>
      <c r="B39" s="48">
        <v>45321</v>
      </c>
      <c r="C39" s="1">
        <v>5.2248000000000001</v>
      </c>
      <c r="D39" s="1">
        <f>C39/A51*1000</f>
        <v>6.1108771929824561</v>
      </c>
      <c r="E39" s="1"/>
      <c r="F39" s="1" t="s">
        <v>116</v>
      </c>
      <c r="I39" s="66" t="s">
        <v>34</v>
      </c>
      <c r="J39" s="71">
        <f>'Berechnungen Fütterungsmenge'!M23</f>
        <v>4.8599795369282637</v>
      </c>
      <c r="AC39" s="181"/>
      <c r="AD39" s="183"/>
      <c r="AG39" s="128" t="s">
        <v>192</v>
      </c>
      <c r="AH39" s="10">
        <f t="shared" si="11"/>
        <v>4.1177142500000006</v>
      </c>
      <c r="AI39" s="156"/>
      <c r="AJ39" s="159"/>
      <c r="AL39" s="138"/>
    </row>
    <row r="40" spans="1:38" x14ac:dyDescent="0.3">
      <c r="A40" s="1">
        <v>1</v>
      </c>
      <c r="B40" s="48">
        <v>45322</v>
      </c>
      <c r="C40" s="1">
        <v>0.17599999999999999</v>
      </c>
      <c r="D40" s="1">
        <f>C40/A$16*1000</f>
        <v>7.0399999999999991</v>
      </c>
      <c r="E40" s="1"/>
      <c r="F40" s="1"/>
      <c r="I40" s="67" t="s">
        <v>104</v>
      </c>
      <c r="J40" s="72">
        <f>'Berechnungen Fütterungsmenge'!F22</f>
        <v>5.2281824999999991</v>
      </c>
      <c r="AC40" s="185"/>
      <c r="AD40" s="184"/>
      <c r="AL40" s="138"/>
    </row>
    <row r="41" spans="1:38" x14ac:dyDescent="0.3">
      <c r="A41" s="1">
        <v>2</v>
      </c>
      <c r="B41" s="48">
        <v>45323</v>
      </c>
      <c r="C41" s="1">
        <v>0.2351</v>
      </c>
      <c r="D41" s="1">
        <f t="shared" ref="D41:D48" si="12">C41/A$16*1000</f>
        <v>9.4040000000000017</v>
      </c>
      <c r="E41" s="1"/>
      <c r="F41" s="1"/>
      <c r="I41" s="66" t="s">
        <v>30</v>
      </c>
      <c r="J41" s="68">
        <v>73.42</v>
      </c>
      <c r="AG41" s="99"/>
      <c r="AH41" s="120" t="s">
        <v>180</v>
      </c>
      <c r="AI41" s="89" t="s">
        <v>36</v>
      </c>
      <c r="AJ41" s="89" t="s">
        <v>7</v>
      </c>
      <c r="AL41" s="138"/>
    </row>
    <row r="42" spans="1:38" x14ac:dyDescent="0.3">
      <c r="A42" s="1">
        <v>3</v>
      </c>
      <c r="B42" s="48">
        <v>45324</v>
      </c>
      <c r="C42" s="1">
        <v>0.25919999999999999</v>
      </c>
      <c r="D42" s="1">
        <f t="shared" si="12"/>
        <v>10.367999999999999</v>
      </c>
      <c r="E42" s="1"/>
      <c r="F42" s="1"/>
      <c r="I42" s="66" t="s">
        <v>35</v>
      </c>
      <c r="J42" s="68">
        <v>4.8600000000000003</v>
      </c>
      <c r="AG42" s="126" t="s">
        <v>193</v>
      </c>
      <c r="AH42" s="32">
        <f>AH32*1000/M23</f>
        <v>0.65834135777077785</v>
      </c>
      <c r="AI42" s="154">
        <f>AVERAGE(AH42:AH44)</f>
        <v>0.12812584796473914</v>
      </c>
      <c r="AJ42" s="157">
        <f>_xlfn.STDEV.P(AH42:AH44)</f>
        <v>0.38479163000832867</v>
      </c>
      <c r="AL42" s="139"/>
    </row>
    <row r="43" spans="1:38" x14ac:dyDescent="0.3">
      <c r="A43" s="1">
        <v>4</v>
      </c>
      <c r="B43" s="48">
        <v>45325</v>
      </c>
      <c r="C43" s="1">
        <v>0.2316</v>
      </c>
      <c r="D43" s="1">
        <f t="shared" si="12"/>
        <v>9.2639999999999993</v>
      </c>
      <c r="E43" s="1"/>
      <c r="F43" s="1"/>
      <c r="I43" s="73" t="s">
        <v>103</v>
      </c>
      <c r="J43" s="69">
        <v>5.2248000000000001</v>
      </c>
      <c r="AG43" s="127" t="s">
        <v>194</v>
      </c>
      <c r="AH43" s="21">
        <f t="shared" ref="AH43:AH44" si="13">AH33*1000/M24</f>
        <v>-0.24305043505827245</v>
      </c>
      <c r="AI43" s="155"/>
      <c r="AJ43" s="158"/>
      <c r="AL43" s="136"/>
    </row>
    <row r="44" spans="1:38" x14ac:dyDescent="0.3">
      <c r="A44" s="1">
        <v>5</v>
      </c>
      <c r="B44" s="48">
        <v>45326</v>
      </c>
      <c r="C44" s="1">
        <v>0.27329999999999999</v>
      </c>
      <c r="D44" s="1">
        <f t="shared" si="12"/>
        <v>10.931999999999999</v>
      </c>
      <c r="E44" s="1"/>
      <c r="F44" s="1"/>
      <c r="AG44" s="128" t="s">
        <v>195</v>
      </c>
      <c r="AH44" s="10">
        <f t="shared" si="13"/>
        <v>-3.0913378818287998E-2</v>
      </c>
      <c r="AI44" s="156"/>
      <c r="AJ44" s="159"/>
      <c r="AK44" s="97"/>
      <c r="AL44" s="97"/>
    </row>
    <row r="45" spans="1:38" x14ac:dyDescent="0.3">
      <c r="A45" s="1">
        <v>6</v>
      </c>
      <c r="B45" s="48">
        <v>45327</v>
      </c>
      <c r="C45" s="1">
        <v>0.28689999999999999</v>
      </c>
      <c r="D45" s="1">
        <f t="shared" si="12"/>
        <v>11.476000000000001</v>
      </c>
      <c r="E45" s="1"/>
      <c r="F45" s="1"/>
      <c r="AK45" s="97"/>
      <c r="AL45" s="97"/>
    </row>
    <row r="46" spans="1:38" x14ac:dyDescent="0.3">
      <c r="A46" s="1">
        <v>7</v>
      </c>
      <c r="B46" s="48">
        <v>45328</v>
      </c>
      <c r="C46" s="1">
        <v>0.47020000000000001</v>
      </c>
      <c r="D46" s="1">
        <f t="shared" si="12"/>
        <v>18.808000000000003</v>
      </c>
      <c r="E46" s="1"/>
      <c r="F46" s="1"/>
      <c r="AG46" s="99"/>
      <c r="AH46" s="120" t="s">
        <v>181</v>
      </c>
      <c r="AI46" s="89" t="s">
        <v>36</v>
      </c>
      <c r="AJ46" s="89" t="s">
        <v>7</v>
      </c>
      <c r="AK46" s="97"/>
      <c r="AL46" s="97"/>
    </row>
    <row r="47" spans="1:38" x14ac:dyDescent="0.3">
      <c r="A47" s="1">
        <v>8</v>
      </c>
      <c r="B47" s="48">
        <v>45329</v>
      </c>
      <c r="C47" s="1">
        <v>0.37259999999999999</v>
      </c>
      <c r="D47" s="1">
        <f t="shared" si="12"/>
        <v>14.903999999999998</v>
      </c>
      <c r="E47" s="1"/>
      <c r="F47" s="1"/>
      <c r="AG47" s="126" t="s">
        <v>196</v>
      </c>
      <c r="AH47" s="32">
        <f>AH27*1000/M23</f>
        <v>6.5834135777077793E-2</v>
      </c>
      <c r="AI47" s="154">
        <f>AVERAGE(AH47:AH49)</f>
        <v>1.2812584796473916E-2</v>
      </c>
      <c r="AJ47" s="157">
        <f>_xlfn.STDEV.P(AH47:AH49)</f>
        <v>3.8479163000832872E-2</v>
      </c>
      <c r="AK47" s="98"/>
      <c r="AL47" s="98"/>
    </row>
    <row r="48" spans="1:38" x14ac:dyDescent="0.3">
      <c r="A48" s="1">
        <v>9</v>
      </c>
      <c r="B48" s="48">
        <v>45330</v>
      </c>
      <c r="C48" s="1">
        <v>0.40720000000000001</v>
      </c>
      <c r="D48" s="1">
        <f t="shared" si="12"/>
        <v>16.288</v>
      </c>
      <c r="E48" s="1"/>
      <c r="F48" s="1"/>
      <c r="AG48" s="127" t="s">
        <v>197</v>
      </c>
      <c r="AH48" s="21">
        <f t="shared" ref="AH48:AH49" si="14">AH28*1000/M24</f>
        <v>-2.4305043505827247E-2</v>
      </c>
      <c r="AI48" s="155"/>
      <c r="AJ48" s="158"/>
      <c r="AK48" s="98"/>
      <c r="AL48" s="98"/>
    </row>
    <row r="49" spans="1:38" x14ac:dyDescent="0.3">
      <c r="A49" s="1">
        <v>10</v>
      </c>
      <c r="B49" s="48">
        <v>45331</v>
      </c>
      <c r="C49" s="1">
        <v>2.7936999999999999</v>
      </c>
      <c r="D49" s="1">
        <f>C49/D51*1000</f>
        <v>9.9775000000000009</v>
      </c>
      <c r="E49" s="1"/>
      <c r="F49" s="1" t="s">
        <v>117</v>
      </c>
      <c r="AG49" s="128" t="s">
        <v>198</v>
      </c>
      <c r="AH49" s="10">
        <f t="shared" si="14"/>
        <v>-3.0913378818288001E-3</v>
      </c>
      <c r="AI49" s="156"/>
      <c r="AJ49" s="159"/>
      <c r="AK49" s="98"/>
      <c r="AL49" s="98"/>
    </row>
    <row r="50" spans="1:38" x14ac:dyDescent="0.3">
      <c r="AK50" s="98"/>
      <c r="AL50" s="98"/>
    </row>
    <row r="51" spans="1:38" x14ac:dyDescent="0.3">
      <c r="A51" s="53">
        <v>855</v>
      </c>
      <c r="B51" t="s">
        <v>119</v>
      </c>
      <c r="C51" t="s">
        <v>50</v>
      </c>
      <c r="D51" s="41">
        <v>280</v>
      </c>
      <c r="E51" t="s">
        <v>133</v>
      </c>
      <c r="F51">
        <v>5</v>
      </c>
      <c r="AK51" s="98"/>
      <c r="AL51" s="98"/>
    </row>
    <row r="52" spans="1:38" x14ac:dyDescent="0.3">
      <c r="A52" s="54">
        <v>25</v>
      </c>
      <c r="B52" t="s">
        <v>118</v>
      </c>
      <c r="C52" t="s">
        <v>74</v>
      </c>
      <c r="D52" s="41">
        <v>21.95</v>
      </c>
      <c r="AK52" s="98"/>
      <c r="AL52" s="98"/>
    </row>
    <row r="53" spans="1:38" x14ac:dyDescent="0.3">
      <c r="AK53" s="98"/>
      <c r="AL53" s="98"/>
    </row>
  </sheetData>
  <mergeCells count="85">
    <mergeCell ref="AB27:AB29"/>
    <mergeCell ref="AB18:AB20"/>
    <mergeCell ref="AC18:AC20"/>
    <mergeCell ref="AA21:AA23"/>
    <mergeCell ref="AB21:AB23"/>
    <mergeCell ref="N17:N19"/>
    <mergeCell ref="O17:O19"/>
    <mergeCell ref="N20:N22"/>
    <mergeCell ref="O20:O22"/>
    <mergeCell ref="AA27:AA29"/>
    <mergeCell ref="N23:N25"/>
    <mergeCell ref="O23:O25"/>
    <mergeCell ref="N26:N28"/>
    <mergeCell ref="O26:O28"/>
    <mergeCell ref="AB2:AB4"/>
    <mergeCell ref="AA7:AA9"/>
    <mergeCell ref="AB7:AB9"/>
    <mergeCell ref="AD7:AD9"/>
    <mergeCell ref="AA24:AA26"/>
    <mergeCell ref="AB24:AB26"/>
    <mergeCell ref="AD2:AD4"/>
    <mergeCell ref="AB10:AB12"/>
    <mergeCell ref="AD10:AD12"/>
    <mergeCell ref="AA13:AA15"/>
    <mergeCell ref="AB13:AB15"/>
    <mergeCell ref="AD13:AD15"/>
    <mergeCell ref="AC38:AC40"/>
    <mergeCell ref="AD38:AD40"/>
    <mergeCell ref="S2:S4"/>
    <mergeCell ref="T2:T4"/>
    <mergeCell ref="S18:S20"/>
    <mergeCell ref="T18:T20"/>
    <mergeCell ref="AA2:AA4"/>
    <mergeCell ref="AA10:AA12"/>
    <mergeCell ref="AA18:AA20"/>
    <mergeCell ref="V7:V9"/>
    <mergeCell ref="W7:W9"/>
    <mergeCell ref="V10:V12"/>
    <mergeCell ref="W10:W12"/>
    <mergeCell ref="V13:V15"/>
    <mergeCell ref="AC32:AC34"/>
    <mergeCell ref="AD32:AD34"/>
    <mergeCell ref="AE2:AE4"/>
    <mergeCell ref="AE10:AE12"/>
    <mergeCell ref="AE13:AE15"/>
    <mergeCell ref="AE7:AE9"/>
    <mergeCell ref="AC35:AC37"/>
    <mergeCell ref="AD35:AD37"/>
    <mergeCell ref="W13:W15"/>
    <mergeCell ref="S7:S9"/>
    <mergeCell ref="T7:T9"/>
    <mergeCell ref="S10:S12"/>
    <mergeCell ref="S13:S15"/>
    <mergeCell ref="T10:T12"/>
    <mergeCell ref="T13:T15"/>
    <mergeCell ref="N2:N4"/>
    <mergeCell ref="N8:N10"/>
    <mergeCell ref="N14:N16"/>
    <mergeCell ref="O2:O4"/>
    <mergeCell ref="O5:O7"/>
    <mergeCell ref="O8:O10"/>
    <mergeCell ref="O11:O13"/>
    <mergeCell ref="O14:O16"/>
    <mergeCell ref="N5:N7"/>
    <mergeCell ref="N11:N13"/>
    <mergeCell ref="AI47:AI49"/>
    <mergeCell ref="AJ47:AJ49"/>
    <mergeCell ref="AI17:AI19"/>
    <mergeCell ref="AJ17:AJ19"/>
    <mergeCell ref="AJ2:AJ4"/>
    <mergeCell ref="AJ7:AJ9"/>
    <mergeCell ref="AI7:AI9"/>
    <mergeCell ref="AI12:AI14"/>
    <mergeCell ref="AJ12:AJ14"/>
    <mergeCell ref="AI2:AI4"/>
    <mergeCell ref="AI22:AI24"/>
    <mergeCell ref="AJ22:AJ24"/>
    <mergeCell ref="AI27:AI29"/>
    <mergeCell ref="AJ27:AJ29"/>
    <mergeCell ref="AI32:AI34"/>
    <mergeCell ref="AJ32:AJ34"/>
    <mergeCell ref="AI37:AI39"/>
    <mergeCell ref="AJ37:AJ39"/>
    <mergeCell ref="AI42:AI44"/>
    <mergeCell ref="AJ42:AJ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53"/>
  <sheetViews>
    <sheetView topLeftCell="Z1" zoomScale="84" workbookViewId="0">
      <selection activeCell="AG1" sqref="AG1:AY1048576"/>
    </sheetView>
  </sheetViews>
  <sheetFormatPr baseColWidth="10" defaultColWidth="9.21875" defaultRowHeight="14.4" x14ac:dyDescent="0.3"/>
  <cols>
    <col min="2" max="2" width="10.77734375" bestFit="1" customWidth="1"/>
    <col min="3" max="3" width="21.21875" customWidth="1"/>
    <col min="4" max="4" width="25.44140625" customWidth="1"/>
    <col min="5" max="5" width="22.77734375" customWidth="1"/>
    <col min="6" max="6" width="32.21875" customWidth="1"/>
    <col min="7" max="7" width="4.6640625" customWidth="1"/>
    <col min="8" max="8" width="4" customWidth="1"/>
    <col min="9" max="9" width="25.5546875" customWidth="1"/>
    <col min="11" max="11" width="4.77734375" customWidth="1"/>
    <col min="12" max="12" width="22.88671875" customWidth="1"/>
    <col min="13" max="13" width="11.44140625" customWidth="1"/>
    <col min="14" max="14" width="10.88671875" customWidth="1"/>
    <col min="15" max="15" width="10.33203125" customWidth="1"/>
    <col min="16" max="16" width="5.6640625" customWidth="1"/>
    <col min="17" max="17" width="24.6640625" customWidth="1"/>
    <col min="18" max="18" width="15.5546875" bestFit="1" customWidth="1"/>
    <col min="19" max="19" width="9.77734375" bestFit="1" customWidth="1"/>
    <col min="20" max="20" width="7.5546875" bestFit="1" customWidth="1"/>
    <col min="21" max="21" width="18.44140625" bestFit="1" customWidth="1"/>
    <col min="22" max="22" width="9.77734375" bestFit="1" customWidth="1"/>
    <col min="23" max="23" width="7.5546875" bestFit="1" customWidth="1"/>
    <col min="25" max="25" width="35.21875" bestFit="1" customWidth="1"/>
    <col min="26" max="26" width="15.5546875" bestFit="1" customWidth="1"/>
    <col min="27" max="27" width="9.77734375" bestFit="1" customWidth="1"/>
    <col min="28" max="28" width="7.5546875" bestFit="1" customWidth="1"/>
    <col min="29" max="29" width="27.88671875" customWidth="1"/>
    <col min="30" max="30" width="9.77734375" bestFit="1" customWidth="1"/>
    <col min="31" max="31" width="7.5546875" bestFit="1" customWidth="1"/>
    <col min="33" max="33" width="43.109375" style="85" bestFit="1" customWidth="1"/>
    <col min="34" max="36" width="18.77734375" style="85" customWidth="1"/>
    <col min="37" max="37" width="11" style="85" bestFit="1" customWidth="1"/>
    <col min="38" max="38" width="10.109375" style="85" bestFit="1" customWidth="1"/>
    <col min="39" max="39" width="9.33203125" style="85" bestFit="1" customWidth="1"/>
    <col min="40" max="41" width="9.21875" style="85"/>
    <col min="42" max="42" width="36.6640625" style="85" bestFit="1" customWidth="1"/>
    <col min="43" max="43" width="9.33203125" style="85" customWidth="1"/>
    <col min="44" max="44" width="9.21875" style="85"/>
    <col min="45" max="45" width="20.77734375" style="85" customWidth="1"/>
    <col min="46" max="47" width="9.33203125" style="85" bestFit="1" customWidth="1"/>
    <col min="48" max="48" width="14.5546875" style="85" bestFit="1" customWidth="1"/>
    <col min="49" max="50" width="9.33203125" style="85" bestFit="1" customWidth="1"/>
    <col min="51" max="51" width="9.21875" style="85"/>
  </cols>
  <sheetData>
    <row r="1" spans="1:50" x14ac:dyDescent="0.3">
      <c r="A1" s="5" t="s">
        <v>21</v>
      </c>
      <c r="L1" s="11"/>
      <c r="M1" s="11" t="s">
        <v>37</v>
      </c>
      <c r="N1" s="11" t="s">
        <v>36</v>
      </c>
      <c r="O1" s="11" t="s">
        <v>7</v>
      </c>
      <c r="R1" t="s">
        <v>61</v>
      </c>
      <c r="S1" t="s">
        <v>36</v>
      </c>
      <c r="T1" t="s">
        <v>7</v>
      </c>
      <c r="Y1" s="85"/>
      <c r="Z1" s="85" t="s">
        <v>61</v>
      </c>
      <c r="AA1" s="85" t="s">
        <v>36</v>
      </c>
      <c r="AB1" s="85" t="s">
        <v>7</v>
      </c>
      <c r="AC1" s="85" t="s">
        <v>130</v>
      </c>
      <c r="AD1" s="85" t="s">
        <v>36</v>
      </c>
      <c r="AE1" s="85" t="s">
        <v>7</v>
      </c>
      <c r="AH1" s="85" t="s">
        <v>134</v>
      </c>
      <c r="AI1" s="85" t="s">
        <v>36</v>
      </c>
      <c r="AJ1" s="85" t="s">
        <v>7</v>
      </c>
      <c r="AK1" s="21"/>
      <c r="AL1" s="21"/>
      <c r="AM1" s="21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</row>
    <row r="2" spans="1:50" ht="14.4" customHeight="1" x14ac:dyDescent="0.3">
      <c r="A2" s="52" t="s">
        <v>22</v>
      </c>
      <c r="B2" s="52" t="s">
        <v>23</v>
      </c>
      <c r="C2" s="52" t="s">
        <v>32</v>
      </c>
      <c r="D2" s="52" t="s">
        <v>33</v>
      </c>
      <c r="E2" s="52" t="s">
        <v>24</v>
      </c>
      <c r="F2" s="52" t="s">
        <v>25</v>
      </c>
      <c r="I2" s="65" t="s">
        <v>28</v>
      </c>
      <c r="J2" s="70">
        <f>'Berechnungen Fütterungsmenge'!M15</f>
        <v>146.84413911550018</v>
      </c>
      <c r="L2" s="33" t="s">
        <v>38</v>
      </c>
      <c r="M2" s="49">
        <v>146.84399999999999</v>
      </c>
      <c r="N2" s="169">
        <f>AVERAGE(M2:M4)</f>
        <v>146.84399999999999</v>
      </c>
      <c r="O2" s="174">
        <f>_xlfn.STDEV.P(M2:M4)</f>
        <v>0</v>
      </c>
      <c r="P2" s="9"/>
      <c r="Q2" s="42" t="s">
        <v>58</v>
      </c>
      <c r="R2" s="32">
        <f>D16</f>
        <v>56.19</v>
      </c>
      <c r="S2" s="171">
        <f>AVERAGE(R2:R4)</f>
        <v>55.75333333333333</v>
      </c>
      <c r="T2" s="177">
        <f>_xlfn.STDEV.P(R2:R4)</f>
        <v>2.0200715058850953</v>
      </c>
      <c r="Y2" s="42" t="s">
        <v>75</v>
      </c>
      <c r="Z2" s="78">
        <f>C13+F15*(D13/1000)</f>
        <v>10.713122312373224</v>
      </c>
      <c r="AA2" s="171">
        <f>AVERAGE(Z2:Z4)</f>
        <v>12.811882616455357</v>
      </c>
      <c r="AB2" s="177">
        <f>_xlfn.STDEV.P(Z2:Z4)</f>
        <v>3.5480417706056535</v>
      </c>
      <c r="AC2" s="32">
        <f>D15+F15</f>
        <v>497</v>
      </c>
      <c r="AD2" s="171">
        <f>AVERAGE(AC2:AC4)</f>
        <v>597</v>
      </c>
      <c r="AE2" s="177">
        <f>_xlfn.STDEV.P(AC2:AC4)</f>
        <v>173.46661542402524</v>
      </c>
      <c r="AG2" s="84" t="s">
        <v>135</v>
      </c>
      <c r="AH2" s="49">
        <f>M26/Z27</f>
        <v>14.402779267843167</v>
      </c>
      <c r="AI2" s="160">
        <f>AVERAGE(AH2:AH4)</f>
        <v>13.042439030766452</v>
      </c>
      <c r="AJ2" s="160">
        <f>_xlfn.STDEV.P(AH2:AH4)</f>
        <v>3.9645762620293445</v>
      </c>
      <c r="AK2" s="50"/>
      <c r="AL2" s="131"/>
      <c r="AM2" s="131"/>
      <c r="AN2" s="132"/>
      <c r="AO2" s="132"/>
      <c r="AP2" s="132"/>
      <c r="AQ2" s="132"/>
      <c r="AR2" s="132"/>
      <c r="AS2" s="130"/>
      <c r="AT2" s="131"/>
      <c r="AU2" s="131"/>
      <c r="AV2" s="130"/>
      <c r="AW2" s="131"/>
      <c r="AX2" s="131"/>
    </row>
    <row r="3" spans="1:50" x14ac:dyDescent="0.3">
      <c r="A3" s="1">
        <v>0</v>
      </c>
      <c r="B3" s="48">
        <v>45321</v>
      </c>
      <c r="C3" s="1">
        <v>5.2281000000000004</v>
      </c>
      <c r="D3" s="1">
        <f>C3/A15*1000</f>
        <v>6.1147368421052644</v>
      </c>
      <c r="E3" s="1"/>
      <c r="F3" s="1"/>
      <c r="I3" s="66" t="s">
        <v>29</v>
      </c>
      <c r="J3" s="71">
        <v>9.7199590738565274</v>
      </c>
      <c r="L3" s="34" t="s">
        <v>39</v>
      </c>
      <c r="M3" s="50"/>
      <c r="N3" s="170"/>
      <c r="O3" s="175"/>
      <c r="P3" s="7"/>
      <c r="Q3" s="43" t="s">
        <v>59</v>
      </c>
      <c r="R3" s="21">
        <f>D34</f>
        <v>53.09</v>
      </c>
      <c r="S3" s="172"/>
      <c r="T3" s="178"/>
      <c r="Y3" s="43" t="s">
        <v>76</v>
      </c>
      <c r="Z3" s="79">
        <f>C31+F33*(D31/1000)</f>
        <v>17.808325536992843</v>
      </c>
      <c r="AA3" s="172"/>
      <c r="AB3" s="178"/>
      <c r="AC3" s="21">
        <f>D33+F33</f>
        <v>841</v>
      </c>
      <c r="AD3" s="172"/>
      <c r="AE3" s="178"/>
      <c r="AG3" s="86" t="s">
        <v>136</v>
      </c>
      <c r="AH3" s="50">
        <f>M27/Z28</f>
        <v>7.651759042191479</v>
      </c>
      <c r="AI3" s="161"/>
      <c r="AJ3" s="161"/>
      <c r="AK3" s="50"/>
      <c r="AL3" s="131"/>
      <c r="AM3" s="131"/>
      <c r="AN3" s="132"/>
      <c r="AO3" s="132"/>
      <c r="AP3" s="132"/>
      <c r="AQ3" s="132"/>
      <c r="AR3" s="132"/>
      <c r="AS3" s="130"/>
      <c r="AT3" s="131"/>
      <c r="AU3" s="131"/>
      <c r="AV3" s="130"/>
      <c r="AW3" s="131"/>
      <c r="AX3" s="131"/>
    </row>
    <row r="4" spans="1:50" x14ac:dyDescent="0.3">
      <c r="A4" s="1">
        <v>1</v>
      </c>
      <c r="B4" s="48">
        <v>45322</v>
      </c>
      <c r="C4" s="1">
        <v>0.1835</v>
      </c>
      <c r="D4" s="1">
        <f>C4/A$16*1000</f>
        <v>7.34</v>
      </c>
      <c r="E4" s="1"/>
      <c r="F4" s="1"/>
      <c r="I4" s="67" t="s">
        <v>104</v>
      </c>
      <c r="J4" s="72">
        <v>5.2281824999999991</v>
      </c>
      <c r="L4" s="34" t="s">
        <v>40</v>
      </c>
      <c r="M4" s="50"/>
      <c r="N4" s="170"/>
      <c r="O4" s="175"/>
      <c r="P4" s="8"/>
      <c r="Q4" s="44" t="s">
        <v>60</v>
      </c>
      <c r="R4" s="10">
        <f>D52</f>
        <v>57.98</v>
      </c>
      <c r="S4" s="173"/>
      <c r="T4" s="179"/>
      <c r="Y4" s="44" t="s">
        <v>77</v>
      </c>
      <c r="Z4" s="80">
        <f>C49+F51*(D49/1000)</f>
        <v>9.9141999999999992</v>
      </c>
      <c r="AA4" s="173"/>
      <c r="AB4" s="179"/>
      <c r="AC4" s="10">
        <f>D51+F51</f>
        <v>453</v>
      </c>
      <c r="AD4" s="173"/>
      <c r="AE4" s="179"/>
      <c r="AG4" s="87" t="s">
        <v>137</v>
      </c>
      <c r="AH4" s="51">
        <f>M28/Z29</f>
        <v>17.072778782264713</v>
      </c>
      <c r="AI4" s="162"/>
      <c r="AJ4" s="162"/>
      <c r="AK4" s="50"/>
      <c r="AL4" s="131"/>
      <c r="AM4" s="131"/>
      <c r="AN4" s="132"/>
      <c r="AO4" s="132"/>
      <c r="AP4" s="132"/>
      <c r="AQ4" s="132"/>
      <c r="AR4" s="132"/>
      <c r="AS4" s="130"/>
      <c r="AT4" s="131"/>
      <c r="AU4" s="131"/>
      <c r="AV4" s="130"/>
      <c r="AW4" s="131"/>
      <c r="AX4" s="131"/>
    </row>
    <row r="5" spans="1:50" x14ac:dyDescent="0.3">
      <c r="A5" s="1">
        <v>2</v>
      </c>
      <c r="B5" s="48">
        <v>45323</v>
      </c>
      <c r="C5" s="1">
        <v>0.24440000000000001</v>
      </c>
      <c r="D5" s="1">
        <f t="shared" ref="D5:D12" si="0">C5/A$16*1000</f>
        <v>9.7759999999999998</v>
      </c>
      <c r="E5" s="1"/>
      <c r="F5" s="1"/>
      <c r="I5" s="66" t="s">
        <v>30</v>
      </c>
      <c r="J5" s="68">
        <v>146.84</v>
      </c>
      <c r="L5" s="36" t="s">
        <v>41</v>
      </c>
      <c r="M5" s="49">
        <f>J5</f>
        <v>146.84</v>
      </c>
      <c r="N5" s="169">
        <f>AVERAGE(M5:M7)</f>
        <v>146.84</v>
      </c>
      <c r="O5" s="174">
        <f>_xlfn.STDEV.P(M5:M7)</f>
        <v>0</v>
      </c>
      <c r="P5" s="8"/>
    </row>
    <row r="6" spans="1:50" x14ac:dyDescent="0.3">
      <c r="A6" s="1">
        <v>3</v>
      </c>
      <c r="B6" s="48">
        <v>45324</v>
      </c>
      <c r="C6" s="1">
        <v>0.36699999999999999</v>
      </c>
      <c r="D6" s="1">
        <f t="shared" si="0"/>
        <v>14.68</v>
      </c>
      <c r="E6" s="1"/>
      <c r="F6" s="1"/>
      <c r="I6" s="66" t="s">
        <v>31</v>
      </c>
      <c r="J6" s="68">
        <v>9.7200000000000006</v>
      </c>
      <c r="L6" s="34" t="s">
        <v>42</v>
      </c>
      <c r="M6" s="50">
        <f>J23</f>
        <v>146.84</v>
      </c>
      <c r="N6" s="170"/>
      <c r="O6" s="175"/>
      <c r="R6" t="s">
        <v>14</v>
      </c>
      <c r="S6" t="s">
        <v>36</v>
      </c>
      <c r="T6" t="s">
        <v>7</v>
      </c>
      <c r="U6" t="s">
        <v>15</v>
      </c>
      <c r="V6" t="s">
        <v>36</v>
      </c>
      <c r="W6" t="s">
        <v>7</v>
      </c>
      <c r="Z6" t="s">
        <v>14</v>
      </c>
      <c r="AA6" t="s">
        <v>36</v>
      </c>
      <c r="AB6" t="s">
        <v>7</v>
      </c>
      <c r="AC6" t="s">
        <v>15</v>
      </c>
      <c r="AD6" t="s">
        <v>36</v>
      </c>
      <c r="AE6" t="s">
        <v>7</v>
      </c>
      <c r="AG6" s="88"/>
      <c r="AH6" s="88" t="s">
        <v>123</v>
      </c>
      <c r="AI6" s="88" t="s">
        <v>36</v>
      </c>
      <c r="AJ6" s="88" t="s">
        <v>7</v>
      </c>
      <c r="AK6" s="21"/>
      <c r="AL6" s="21"/>
      <c r="AM6" s="21"/>
      <c r="AN6" s="21"/>
    </row>
    <row r="7" spans="1:50" x14ac:dyDescent="0.3">
      <c r="A7" s="1">
        <v>4</v>
      </c>
      <c r="B7" s="48">
        <v>45325</v>
      </c>
      <c r="C7" s="1">
        <v>0.3145</v>
      </c>
      <c r="D7" s="1">
        <f t="shared" si="0"/>
        <v>12.58</v>
      </c>
      <c r="E7" s="1"/>
      <c r="F7" s="1"/>
      <c r="I7" s="73" t="s">
        <v>105</v>
      </c>
      <c r="J7" s="69">
        <v>5.2281000000000004</v>
      </c>
      <c r="L7" s="35" t="s">
        <v>43</v>
      </c>
      <c r="M7" s="51">
        <f>J41</f>
        <v>146.84</v>
      </c>
      <c r="N7" s="180"/>
      <c r="O7" s="176"/>
      <c r="Q7" s="45" t="s">
        <v>62</v>
      </c>
      <c r="R7" s="32">
        <v>47.22</v>
      </c>
      <c r="S7" s="171">
        <f>AVERAGE(R7:R9)</f>
        <v>48.673333333333325</v>
      </c>
      <c r="T7" s="171">
        <f>_xlfn.STDEV.P(R7:R9)</f>
        <v>1.4599162837490232</v>
      </c>
      <c r="U7" s="32">
        <f>100-R7</f>
        <v>52.78</v>
      </c>
      <c r="V7" s="171">
        <f>AVERAGE(U7:U9)</f>
        <v>51.326666666666675</v>
      </c>
      <c r="W7" s="177">
        <f>_xlfn.STDEV.P(U7:U9)</f>
        <v>1.4599162837490232</v>
      </c>
      <c r="Y7" s="45" t="s">
        <v>78</v>
      </c>
      <c r="Z7" s="32">
        <v>60.04</v>
      </c>
      <c r="AA7" s="171">
        <f>AVERAGE(Z7:Z9)</f>
        <v>61.086666666666666</v>
      </c>
      <c r="AB7" s="171">
        <f>_xlfn.STDEV.P(Z7:Z9)</f>
        <v>0.74028523031479221</v>
      </c>
      <c r="AC7" s="32">
        <f>100-Z7</f>
        <v>39.96</v>
      </c>
      <c r="AD7" s="171">
        <f>AVERAGE(AC7:AC9)</f>
        <v>38.913333333333334</v>
      </c>
      <c r="AE7" s="177">
        <f>_xlfn.STDEV.P(AC7:AC9)</f>
        <v>0.74028523031479221</v>
      </c>
      <c r="AG7" s="90" t="s">
        <v>138</v>
      </c>
      <c r="AH7" s="91">
        <f>AC2/M23*100</f>
        <v>58.129572247406628</v>
      </c>
      <c r="AI7" s="166">
        <f>AVERAGE(AH7:AH9)</f>
        <v>69.815680802274855</v>
      </c>
      <c r="AJ7" s="163">
        <f>_xlfn.STDEV.P(AH7:AH9)</f>
        <v>20.273260544411546</v>
      </c>
      <c r="AK7" s="81"/>
      <c r="AL7" s="21"/>
      <c r="AM7" s="81"/>
      <c r="AN7" s="81"/>
    </row>
    <row r="8" spans="1:50" x14ac:dyDescent="0.3">
      <c r="A8" s="1">
        <v>5</v>
      </c>
      <c r="B8" s="48">
        <v>45326</v>
      </c>
      <c r="C8" s="1">
        <v>0.33040000000000003</v>
      </c>
      <c r="D8" s="1">
        <f t="shared" si="0"/>
        <v>13.216000000000001</v>
      </c>
      <c r="E8" s="1"/>
      <c r="F8" s="1"/>
      <c r="L8" s="36" t="s">
        <v>51</v>
      </c>
      <c r="M8" s="49">
        <v>9.7200000000000006</v>
      </c>
      <c r="N8" s="171">
        <f>AVERAGE(M8:M10)</f>
        <v>9.7200000000000006</v>
      </c>
      <c r="O8" s="177">
        <f>_xlfn.STDEV.P(M8:M10)</f>
        <v>0</v>
      </c>
      <c r="Q8" s="46" t="s">
        <v>63</v>
      </c>
      <c r="R8" s="21">
        <v>48.13</v>
      </c>
      <c r="S8" s="172"/>
      <c r="T8" s="172"/>
      <c r="U8" s="21">
        <f t="shared" ref="U8:U15" si="1">100-R8</f>
        <v>51.87</v>
      </c>
      <c r="V8" s="172"/>
      <c r="W8" s="178"/>
      <c r="Y8" s="46" t="s">
        <v>79</v>
      </c>
      <c r="Z8" s="21">
        <v>61.59</v>
      </c>
      <c r="AA8" s="172"/>
      <c r="AB8" s="172"/>
      <c r="AC8" s="21">
        <f t="shared" ref="AC8:AC15" si="2">100-Z8</f>
        <v>38.409999999999997</v>
      </c>
      <c r="AD8" s="172"/>
      <c r="AE8" s="178"/>
      <c r="AG8" s="92" t="s">
        <v>139</v>
      </c>
      <c r="AH8" s="93">
        <f t="shared" ref="AH8:AH9" si="3">AC3/M24*100</f>
        <v>98.332151006411962</v>
      </c>
      <c r="AI8" s="167"/>
      <c r="AJ8" s="164"/>
      <c r="AK8" s="81"/>
      <c r="AL8" s="21"/>
      <c r="AM8" s="81"/>
      <c r="AN8" s="81"/>
    </row>
    <row r="9" spans="1:50" x14ac:dyDescent="0.3">
      <c r="A9" s="1">
        <v>6</v>
      </c>
      <c r="B9" s="48">
        <v>45327</v>
      </c>
      <c r="C9" s="1">
        <v>0.65049999999999997</v>
      </c>
      <c r="D9" s="1">
        <f t="shared" si="0"/>
        <v>26.02</v>
      </c>
      <c r="E9" s="1"/>
      <c r="F9" s="1"/>
      <c r="I9" s="74" t="s">
        <v>122</v>
      </c>
      <c r="J9">
        <v>0.05</v>
      </c>
      <c r="L9" s="34" t="s">
        <v>52</v>
      </c>
      <c r="M9" s="50"/>
      <c r="N9" s="172"/>
      <c r="O9" s="178"/>
      <c r="Q9" s="47" t="s">
        <v>64</v>
      </c>
      <c r="R9" s="10">
        <v>50.67</v>
      </c>
      <c r="S9" s="173"/>
      <c r="T9" s="173"/>
      <c r="U9" s="10">
        <f t="shared" si="1"/>
        <v>49.33</v>
      </c>
      <c r="V9" s="173"/>
      <c r="W9" s="179"/>
      <c r="Y9" s="47" t="s">
        <v>80</v>
      </c>
      <c r="Z9" s="10">
        <v>61.63</v>
      </c>
      <c r="AA9" s="173"/>
      <c r="AB9" s="173"/>
      <c r="AC9" s="10">
        <f t="shared" si="2"/>
        <v>38.369999999999997</v>
      </c>
      <c r="AD9" s="173"/>
      <c r="AE9" s="179"/>
      <c r="AG9" s="94" t="s">
        <v>140</v>
      </c>
      <c r="AH9" s="95">
        <f t="shared" si="3"/>
        <v>52.985319153005982</v>
      </c>
      <c r="AI9" s="168"/>
      <c r="AJ9" s="165"/>
      <c r="AK9" s="81"/>
      <c r="AL9" s="21"/>
      <c r="AM9" s="81"/>
      <c r="AN9" s="81"/>
    </row>
    <row r="10" spans="1:50" x14ac:dyDescent="0.3">
      <c r="A10" s="1">
        <v>7</v>
      </c>
      <c r="B10" s="48">
        <v>45328</v>
      </c>
      <c r="C10" s="1">
        <v>0.67889999999999995</v>
      </c>
      <c r="D10" s="1">
        <f t="shared" si="0"/>
        <v>27.155999999999999</v>
      </c>
      <c r="E10" s="1"/>
      <c r="F10" s="1"/>
      <c r="L10" s="35" t="s">
        <v>53</v>
      </c>
      <c r="M10" s="51"/>
      <c r="N10" s="173"/>
      <c r="O10" s="179"/>
      <c r="Q10" s="45" t="s">
        <v>65</v>
      </c>
      <c r="R10" s="32">
        <v>49.15</v>
      </c>
      <c r="S10" s="171">
        <f>AVERAGE(R10:R12)</f>
        <v>48.576666666666661</v>
      </c>
      <c r="T10" s="171">
        <f>_xlfn.STDEV.P(R10:R12)</f>
        <v>0.41707979518978733</v>
      </c>
      <c r="U10" s="32">
        <f t="shared" si="1"/>
        <v>50.85</v>
      </c>
      <c r="V10" s="171">
        <f>AVERAGE(U10:U12)</f>
        <v>51.423333333333339</v>
      </c>
      <c r="W10" s="177">
        <f>_xlfn.STDEV.P(U10:U12)</f>
        <v>0.41707979518978733</v>
      </c>
      <c r="Y10" s="45" t="s">
        <v>81</v>
      </c>
      <c r="Z10" s="32">
        <v>61.3</v>
      </c>
      <c r="AA10" s="171">
        <f>AVERAGE(Z10:Z12)</f>
        <v>61.883333333333333</v>
      </c>
      <c r="AB10" s="171">
        <f>_xlfn.STDEV.P(Z10:Z12)</f>
        <v>0.41298372311213066</v>
      </c>
      <c r="AC10" s="32">
        <f t="shared" si="2"/>
        <v>38.700000000000003</v>
      </c>
      <c r="AD10" s="171">
        <f>AVERAGE(AC10:AC12)</f>
        <v>38.116666666666667</v>
      </c>
      <c r="AE10" s="177">
        <f>_xlfn.STDEV.P(AC10:AC12)</f>
        <v>0.41298372311213066</v>
      </c>
      <c r="AG10" s="21"/>
      <c r="AH10" s="21"/>
      <c r="AI10" s="21"/>
      <c r="AJ10" s="21"/>
      <c r="AK10" s="21"/>
      <c r="AL10" s="21"/>
      <c r="AM10" s="21"/>
      <c r="AN10" s="21"/>
    </row>
    <row r="11" spans="1:50" x14ac:dyDescent="0.3">
      <c r="A11" s="1">
        <v>8</v>
      </c>
      <c r="B11" s="48">
        <v>45329</v>
      </c>
      <c r="C11" s="1">
        <v>0.76970000000000005</v>
      </c>
      <c r="D11" s="1">
        <f t="shared" si="0"/>
        <v>30.788000000000004</v>
      </c>
      <c r="E11" s="1"/>
      <c r="F11" s="1"/>
      <c r="L11" s="36" t="s">
        <v>54</v>
      </c>
      <c r="M11" s="49">
        <f>J6</f>
        <v>9.7200000000000006</v>
      </c>
      <c r="N11" s="171">
        <f>AVERAGE(M11:M13)</f>
        <v>9.7200000000000006</v>
      </c>
      <c r="O11" s="177">
        <f>_xlfn.STDEV.P(M11:M13)</f>
        <v>0</v>
      </c>
      <c r="Q11" s="46" t="s">
        <v>66</v>
      </c>
      <c r="R11" s="21">
        <v>48.17</v>
      </c>
      <c r="S11" s="172"/>
      <c r="T11" s="172"/>
      <c r="U11" s="21">
        <f t="shared" si="1"/>
        <v>51.83</v>
      </c>
      <c r="V11" s="172"/>
      <c r="W11" s="178"/>
      <c r="Y11" s="46" t="s">
        <v>82</v>
      </c>
      <c r="Z11" s="21">
        <v>62.2</v>
      </c>
      <c r="AA11" s="172"/>
      <c r="AB11" s="172"/>
      <c r="AC11" s="21">
        <f t="shared" si="2"/>
        <v>37.799999999999997</v>
      </c>
      <c r="AD11" s="172"/>
      <c r="AE11" s="178"/>
      <c r="AH11" s="88" t="s">
        <v>141</v>
      </c>
      <c r="AI11" s="88" t="s">
        <v>36</v>
      </c>
      <c r="AJ11" s="88" t="s">
        <v>7</v>
      </c>
      <c r="AK11" s="21"/>
      <c r="AL11" s="21"/>
      <c r="AM11" s="21"/>
      <c r="AN11" s="21"/>
    </row>
    <row r="12" spans="1:50" x14ac:dyDescent="0.3">
      <c r="A12" s="1">
        <v>9</v>
      </c>
      <c r="B12" s="48">
        <v>45330</v>
      </c>
      <c r="C12" s="1">
        <v>0.73240000000000005</v>
      </c>
      <c r="D12" s="1">
        <f t="shared" si="0"/>
        <v>29.296000000000003</v>
      </c>
      <c r="E12" s="1"/>
      <c r="F12" s="1"/>
      <c r="L12" s="34" t="s">
        <v>55</v>
      </c>
      <c r="M12" s="56">
        <f>J24</f>
        <v>9.7200000000000006</v>
      </c>
      <c r="N12" s="172"/>
      <c r="O12" s="178"/>
      <c r="Q12" s="47" t="s">
        <v>67</v>
      </c>
      <c r="R12" s="10">
        <v>48.41</v>
      </c>
      <c r="S12" s="173"/>
      <c r="T12" s="173"/>
      <c r="U12" s="10">
        <f t="shared" si="1"/>
        <v>51.59</v>
      </c>
      <c r="V12" s="173"/>
      <c r="W12" s="179"/>
      <c r="Y12" s="47" t="s">
        <v>83</v>
      </c>
      <c r="Z12" s="10">
        <v>62.15</v>
      </c>
      <c r="AA12" s="173"/>
      <c r="AB12" s="173"/>
      <c r="AC12" s="10">
        <f t="shared" si="2"/>
        <v>37.85</v>
      </c>
      <c r="AD12" s="173"/>
      <c r="AE12" s="179"/>
      <c r="AG12" s="90" t="s">
        <v>142</v>
      </c>
      <c r="AH12" s="91">
        <f>(M26-R18)/M26*100</f>
        <v>32.535485214743368</v>
      </c>
      <c r="AI12" s="166">
        <f>AVERAGE(AH12:AH14)</f>
        <v>33.563773943183811</v>
      </c>
      <c r="AJ12" s="163">
        <f>_xlfn.STDEV.P(AH12:AH14)</f>
        <v>1.8320666438267224</v>
      </c>
      <c r="AK12" s="129"/>
    </row>
    <row r="13" spans="1:50" x14ac:dyDescent="0.3">
      <c r="A13" s="1">
        <v>10</v>
      </c>
      <c r="B13" s="48">
        <v>45331</v>
      </c>
      <c r="C13" s="1">
        <v>10.626899999999999</v>
      </c>
      <c r="D13" s="1">
        <f>C13/D15*1000</f>
        <v>21.555578093306284</v>
      </c>
      <c r="E13" s="1"/>
      <c r="F13" s="1"/>
      <c r="L13" s="35" t="s">
        <v>56</v>
      </c>
      <c r="M13" s="51">
        <f>J42</f>
        <v>9.7200000000000006</v>
      </c>
      <c r="N13" s="173"/>
      <c r="O13" s="179"/>
      <c r="Q13" s="45" t="s">
        <v>68</v>
      </c>
      <c r="R13" s="32">
        <v>50.15</v>
      </c>
      <c r="S13" s="171">
        <f>AVERAGE(R13:R15)</f>
        <v>49.876666666666665</v>
      </c>
      <c r="T13" s="171">
        <f>_xlfn.STDEV.P(R13:R15)</f>
        <v>1.4823479873348084</v>
      </c>
      <c r="U13" s="32">
        <f t="shared" si="1"/>
        <v>49.85</v>
      </c>
      <c r="V13" s="171">
        <f>AVERAGE(U13:U15)</f>
        <v>50.123333333333335</v>
      </c>
      <c r="W13" s="177">
        <f>_xlfn.STDEV.P(U13:U15)</f>
        <v>1.4823479873348084</v>
      </c>
      <c r="Y13" s="45" t="s">
        <v>84</v>
      </c>
      <c r="Z13" s="32">
        <v>62.1</v>
      </c>
      <c r="AA13" s="171">
        <f>AVERAGE(Z13:Z15)</f>
        <v>62.633333333333333</v>
      </c>
      <c r="AB13" s="171">
        <f>_xlfn.STDEV.P(Z13:Z15)</f>
        <v>0.39406711216350954</v>
      </c>
      <c r="AC13" s="32">
        <f t="shared" si="2"/>
        <v>37.9</v>
      </c>
      <c r="AD13" s="171">
        <f>AVERAGE(AC13:AC15)</f>
        <v>37.366666666666667</v>
      </c>
      <c r="AE13" s="177">
        <f>_xlfn.STDEV.P(AC13:AC15)</f>
        <v>0.39406711216350954</v>
      </c>
      <c r="AG13" s="92" t="s">
        <v>143</v>
      </c>
      <c r="AH13" s="93">
        <f t="shared" ref="AH13:AH14" si="4">(M27-R19)/M27*100</f>
        <v>36.137449564597169</v>
      </c>
      <c r="AI13" s="167"/>
      <c r="AJ13" s="164"/>
      <c r="AK13" s="129"/>
    </row>
    <row r="14" spans="1:50" x14ac:dyDescent="0.3">
      <c r="L14" s="36" t="s">
        <v>44</v>
      </c>
      <c r="M14" s="49">
        <f>M5+M11</f>
        <v>156.56</v>
      </c>
      <c r="N14" s="171">
        <f>AVERAGE(M14:M16)</f>
        <v>156.56</v>
      </c>
      <c r="O14" s="177">
        <f>_xlfn.STDEV.P(M14:M16)</f>
        <v>0</v>
      </c>
      <c r="Q14" s="46" t="s">
        <v>69</v>
      </c>
      <c r="R14" s="21">
        <v>47.94</v>
      </c>
      <c r="S14" s="172"/>
      <c r="T14" s="172"/>
      <c r="U14" s="21">
        <f t="shared" si="1"/>
        <v>52.06</v>
      </c>
      <c r="V14" s="172"/>
      <c r="W14" s="178"/>
      <c r="Y14" s="46" t="s">
        <v>85</v>
      </c>
      <c r="Z14" s="21">
        <v>63.04</v>
      </c>
      <c r="AA14" s="172"/>
      <c r="AB14" s="172"/>
      <c r="AC14" s="21">
        <f t="shared" si="2"/>
        <v>36.96</v>
      </c>
      <c r="AD14" s="172"/>
      <c r="AE14" s="178"/>
      <c r="AG14" s="94" t="s">
        <v>144</v>
      </c>
      <c r="AH14" s="95">
        <f t="shared" si="4"/>
        <v>32.018387050210912</v>
      </c>
      <c r="AI14" s="168"/>
      <c r="AJ14" s="165"/>
      <c r="AK14" s="129"/>
      <c r="AL14" s="89"/>
      <c r="AM14" s="89"/>
    </row>
    <row r="15" spans="1:50" x14ac:dyDescent="0.3">
      <c r="A15" s="53">
        <v>855</v>
      </c>
      <c r="B15" t="s">
        <v>119</v>
      </c>
      <c r="C15" t="s">
        <v>50</v>
      </c>
      <c r="D15" s="41">
        <v>493</v>
      </c>
      <c r="E15" t="s">
        <v>133</v>
      </c>
      <c r="F15">
        <v>4</v>
      </c>
      <c r="L15" s="34" t="s">
        <v>45</v>
      </c>
      <c r="M15" s="50">
        <f>M6+M12</f>
        <v>156.56</v>
      </c>
      <c r="N15" s="172"/>
      <c r="O15" s="178"/>
      <c r="Q15" s="47" t="s">
        <v>70</v>
      </c>
      <c r="R15" s="10">
        <v>51.54</v>
      </c>
      <c r="S15" s="173"/>
      <c r="T15" s="173"/>
      <c r="U15" s="10">
        <f t="shared" si="1"/>
        <v>48.46</v>
      </c>
      <c r="V15" s="173"/>
      <c r="W15" s="179"/>
      <c r="Y15" s="47" t="s">
        <v>86</v>
      </c>
      <c r="Z15" s="10">
        <v>62.76</v>
      </c>
      <c r="AA15" s="173"/>
      <c r="AB15" s="173"/>
      <c r="AC15" s="10">
        <f t="shared" si="2"/>
        <v>37.24</v>
      </c>
      <c r="AD15" s="173"/>
      <c r="AE15" s="179"/>
    </row>
    <row r="16" spans="1:50" x14ac:dyDescent="0.3">
      <c r="A16" s="54">
        <v>25</v>
      </c>
      <c r="B16" t="s">
        <v>118</v>
      </c>
      <c r="C16" t="s">
        <v>74</v>
      </c>
      <c r="D16" s="41">
        <v>56.19</v>
      </c>
      <c r="L16" s="35" t="s">
        <v>46</v>
      </c>
      <c r="M16" s="51">
        <f>M7+M13</f>
        <v>156.56</v>
      </c>
      <c r="N16" s="173"/>
      <c r="O16" s="179"/>
      <c r="AH16" s="96" t="s">
        <v>145</v>
      </c>
      <c r="AI16" s="89" t="s">
        <v>36</v>
      </c>
      <c r="AJ16" s="89" t="s">
        <v>7</v>
      </c>
      <c r="AL16" s="89"/>
      <c r="AM16" s="89"/>
    </row>
    <row r="17" spans="1:45" x14ac:dyDescent="0.3">
      <c r="L17" s="33" t="s">
        <v>106</v>
      </c>
      <c r="M17" s="49">
        <v>5.2281825</v>
      </c>
      <c r="N17" s="169">
        <f>AVERAGE(M17:M19)</f>
        <v>5.2281825</v>
      </c>
      <c r="O17" s="174">
        <f>_xlfn.STDEV.P(M17:M19)</f>
        <v>0</v>
      </c>
      <c r="R17" t="s">
        <v>61</v>
      </c>
      <c r="S17" t="s">
        <v>36</v>
      </c>
      <c r="T17" t="s">
        <v>7</v>
      </c>
      <c r="Z17" t="s">
        <v>61</v>
      </c>
      <c r="AA17" t="s">
        <v>36</v>
      </c>
      <c r="AB17" t="s">
        <v>7</v>
      </c>
      <c r="AG17" s="90" t="s">
        <v>182</v>
      </c>
      <c r="AH17" s="32">
        <f>AH12/10</f>
        <v>3.2535485214743369</v>
      </c>
      <c r="AI17" s="154">
        <f>AVERAGE(AH17:AH19)</f>
        <v>3.3563773943183812</v>
      </c>
      <c r="AJ17" s="157">
        <f>_xlfn.STDEV.P(AH17:AH19)</f>
        <v>0.18320666438267214</v>
      </c>
    </row>
    <row r="18" spans="1:45" x14ac:dyDescent="0.3">
      <c r="L18" s="34" t="s">
        <v>107</v>
      </c>
      <c r="M18" s="50"/>
      <c r="N18" s="170"/>
      <c r="O18" s="175"/>
      <c r="Q18" s="42" t="s">
        <v>71</v>
      </c>
      <c r="R18" s="32">
        <f>R2*(V7/100)</f>
        <v>28.840454000000005</v>
      </c>
      <c r="S18" s="171">
        <f>AVERAGE(R18:R20)</f>
        <v>28.400870111111114</v>
      </c>
      <c r="T18" s="177">
        <f>_xlfn.STDEV.P(R18:R20)</f>
        <v>0.78319148865746868</v>
      </c>
      <c r="Y18" s="42" t="s">
        <v>87</v>
      </c>
      <c r="Z18" s="32">
        <f>Z2*(AD7/100)</f>
        <v>4.1688329958215009</v>
      </c>
      <c r="AA18" s="171">
        <f>AVERAGE(Z18:Z20)</f>
        <v>4.8871263821128688</v>
      </c>
      <c r="AB18" s="177">
        <f>_xlfn.STDEV.P(Z18:Z20)</f>
        <v>1.3573739860414495</v>
      </c>
      <c r="AC18" s="187" t="s">
        <v>90</v>
      </c>
      <c r="AG18" s="92" t="s">
        <v>183</v>
      </c>
      <c r="AH18" s="21">
        <f t="shared" ref="AH18:AH19" si="5">AH13/10</f>
        <v>3.6137449564597168</v>
      </c>
      <c r="AI18" s="155"/>
      <c r="AJ18" s="158"/>
    </row>
    <row r="19" spans="1:45" x14ac:dyDescent="0.3">
      <c r="A19" s="5" t="s">
        <v>26</v>
      </c>
      <c r="L19" s="34" t="s">
        <v>108</v>
      </c>
      <c r="M19" s="50"/>
      <c r="N19" s="170"/>
      <c r="O19" s="175"/>
      <c r="Q19" s="43" t="s">
        <v>72</v>
      </c>
      <c r="R19" s="21">
        <f>R3*(V10/100)</f>
        <v>27.300647666666674</v>
      </c>
      <c r="S19" s="172"/>
      <c r="T19" s="178"/>
      <c r="Y19" s="43" t="s">
        <v>88</v>
      </c>
      <c r="Z19" s="21">
        <f>Z3*(AD10/100)</f>
        <v>6.7879400838504385</v>
      </c>
      <c r="AA19" s="172"/>
      <c r="AB19" s="178"/>
      <c r="AC19" s="187"/>
      <c r="AG19" s="94" t="s">
        <v>184</v>
      </c>
      <c r="AH19" s="10">
        <f t="shared" si="5"/>
        <v>3.2018387050210912</v>
      </c>
      <c r="AI19" s="156"/>
      <c r="AJ19" s="159"/>
    </row>
    <row r="20" spans="1:45" x14ac:dyDescent="0.3">
      <c r="A20" s="52" t="s">
        <v>22</v>
      </c>
      <c r="B20" s="52" t="s">
        <v>23</v>
      </c>
      <c r="C20" s="52" t="s">
        <v>32</v>
      </c>
      <c r="D20" s="52" t="s">
        <v>33</v>
      </c>
      <c r="E20" s="52" t="s">
        <v>24</v>
      </c>
      <c r="F20" s="52" t="s">
        <v>25</v>
      </c>
      <c r="I20" s="65" t="s">
        <v>28</v>
      </c>
      <c r="J20" s="70">
        <v>146.84413911550018</v>
      </c>
      <c r="L20" s="36" t="s">
        <v>109</v>
      </c>
      <c r="M20" s="49">
        <f>J7</f>
        <v>5.2281000000000004</v>
      </c>
      <c r="N20" s="169">
        <f>AVERAGE(M20:M22)</f>
        <v>5.2286000000000001</v>
      </c>
      <c r="O20" s="174">
        <f>_xlfn.STDEV.P(M20:M22)</f>
        <v>8.5244745683621826E-4</v>
      </c>
      <c r="Q20" s="44" t="s">
        <v>73</v>
      </c>
      <c r="R20" s="10">
        <f>R4*(V13/100)</f>
        <v>29.061508666666665</v>
      </c>
      <c r="S20" s="173"/>
      <c r="T20" s="179"/>
      <c r="Y20" s="44" t="s">
        <v>89</v>
      </c>
      <c r="Z20" s="10">
        <f>Z4*(AD13/100)</f>
        <v>3.704606066666666</v>
      </c>
      <c r="AA20" s="173"/>
      <c r="AB20" s="179"/>
      <c r="AC20" s="187"/>
    </row>
    <row r="21" spans="1:45" x14ac:dyDescent="0.3">
      <c r="A21" s="1">
        <v>0</v>
      </c>
      <c r="B21" s="48">
        <v>45321</v>
      </c>
      <c r="C21" s="1">
        <v>5.2298</v>
      </c>
      <c r="D21" s="1">
        <f>C21/A33*1000</f>
        <v>6.1167251461988306</v>
      </c>
      <c r="E21" s="1"/>
      <c r="F21" s="1"/>
      <c r="I21" s="66" t="s">
        <v>29</v>
      </c>
      <c r="J21" s="71">
        <v>9.7199590738565274</v>
      </c>
      <c r="L21" s="34" t="s">
        <v>110</v>
      </c>
      <c r="M21" s="50">
        <f>J25</f>
        <v>5.2298</v>
      </c>
      <c r="N21" s="170"/>
      <c r="O21" s="175"/>
      <c r="Y21" s="42" t="s">
        <v>91</v>
      </c>
      <c r="Z21" s="32">
        <f>M20</f>
        <v>5.2281000000000004</v>
      </c>
      <c r="AA21" s="171">
        <f>AVERAGE(Z21:Z23)</f>
        <v>5.2286000000000001</v>
      </c>
      <c r="AB21" s="177">
        <f>_xlfn.STDEV.P(Z21:Z23)</f>
        <v>8.5244745683621826E-4</v>
      </c>
      <c r="AH21" s="85" t="s">
        <v>172</v>
      </c>
      <c r="AI21" s="89" t="s">
        <v>36</v>
      </c>
      <c r="AJ21" s="89" t="s">
        <v>7</v>
      </c>
    </row>
    <row r="22" spans="1:45" x14ac:dyDescent="0.3">
      <c r="A22" s="1">
        <v>1</v>
      </c>
      <c r="B22" s="48">
        <v>45322</v>
      </c>
      <c r="C22" s="1">
        <v>0.2072</v>
      </c>
      <c r="D22" s="1">
        <f>C22/A$16*1000</f>
        <v>8.2880000000000003</v>
      </c>
      <c r="E22" s="1"/>
      <c r="F22" s="1"/>
      <c r="I22" s="67" t="s">
        <v>104</v>
      </c>
      <c r="J22" s="72">
        <v>5.2281824999999991</v>
      </c>
      <c r="L22" s="35" t="s">
        <v>111</v>
      </c>
      <c r="M22" s="51">
        <f>J43</f>
        <v>5.2279</v>
      </c>
      <c r="N22" s="180"/>
      <c r="O22" s="176"/>
      <c r="Y22" s="43" t="s">
        <v>92</v>
      </c>
      <c r="Z22" s="21">
        <f t="shared" ref="Z22:Z23" si="6">M21</f>
        <v>5.2298</v>
      </c>
      <c r="AA22" s="172"/>
      <c r="AB22" s="178"/>
      <c r="AC22" t="s">
        <v>94</v>
      </c>
      <c r="AD22">
        <v>22.966666666666665</v>
      </c>
      <c r="AG22" s="90" t="s">
        <v>147</v>
      </c>
      <c r="AH22" s="32">
        <f>Z27/(M26-R18)</f>
        <v>0.2134009788622781</v>
      </c>
      <c r="AI22" s="154">
        <f>AVERAGE(AH22:AH24)</f>
        <v>0.25265991388219761</v>
      </c>
      <c r="AJ22" s="157">
        <f>_xlfn.STDEV.P(AH22:AH24)</f>
        <v>7.8060611873323152E-2</v>
      </c>
    </row>
    <row r="23" spans="1:45" x14ac:dyDescent="0.3">
      <c r="A23" s="1">
        <v>2</v>
      </c>
      <c r="B23" s="48">
        <v>45323</v>
      </c>
      <c r="C23" s="1">
        <v>0.24030000000000001</v>
      </c>
      <c r="D23" s="1">
        <f t="shared" ref="D23:D30" si="7">C23/A$16*1000</f>
        <v>9.6120000000000001</v>
      </c>
      <c r="E23" s="1"/>
      <c r="F23" s="1"/>
      <c r="I23" s="66" t="s">
        <v>30</v>
      </c>
      <c r="J23" s="68">
        <v>146.84</v>
      </c>
      <c r="L23" s="36" t="s">
        <v>124</v>
      </c>
      <c r="M23" s="75">
        <f>M20/'Berechnungen Fütterungsmenge'!$F$21</f>
        <v>854.98650821772219</v>
      </c>
      <c r="N23" s="169">
        <f>AVERAGE(M23:M25)</f>
        <v>855.068276595165</v>
      </c>
      <c r="O23" s="174">
        <f>_xlfn.STDEV.P(M23:M25)</f>
        <v>0.13940649080150755</v>
      </c>
      <c r="Y23" s="44" t="s">
        <v>93</v>
      </c>
      <c r="Z23" s="10">
        <f t="shared" si="6"/>
        <v>5.2279</v>
      </c>
      <c r="AA23" s="173"/>
      <c r="AB23" s="179"/>
      <c r="AG23" s="92" t="s">
        <v>148</v>
      </c>
      <c r="AH23" s="21">
        <f t="shared" ref="AH23:AH24" si="8">Z28/(M27-R19)</f>
        <v>0.36164395992556386</v>
      </c>
      <c r="AI23" s="155"/>
      <c r="AJ23" s="158"/>
    </row>
    <row r="24" spans="1:45" x14ac:dyDescent="0.3">
      <c r="A24" s="1">
        <v>3</v>
      </c>
      <c r="B24" s="48">
        <v>45324</v>
      </c>
      <c r="C24" s="1">
        <v>0.30420000000000003</v>
      </c>
      <c r="D24" s="1">
        <f t="shared" si="7"/>
        <v>12.168000000000001</v>
      </c>
      <c r="E24" s="1"/>
      <c r="F24" s="1"/>
      <c r="I24" s="66" t="s">
        <v>31</v>
      </c>
      <c r="J24" s="68">
        <v>9.7200000000000006</v>
      </c>
      <c r="L24" s="34" t="s">
        <v>125</v>
      </c>
      <c r="M24" s="76">
        <f>M21/'Berechnungen Fütterungsmenge'!$F$21</f>
        <v>855.26452070102766</v>
      </c>
      <c r="N24" s="170"/>
      <c r="O24" s="175"/>
      <c r="Y24" s="42" t="s">
        <v>95</v>
      </c>
      <c r="Z24" s="32">
        <f>Z21*(AD22/100)</f>
        <v>1.2007203</v>
      </c>
      <c r="AA24" s="171">
        <f>AVERAGE(Z24:Z26)</f>
        <v>1.2008351333333331</v>
      </c>
      <c r="AB24" s="177">
        <f>_xlfn.STDEV.P(Z24:Z26)</f>
        <v>1.9577876592007389E-4</v>
      </c>
      <c r="AG24" s="94" t="s">
        <v>149</v>
      </c>
      <c r="AH24" s="10">
        <f t="shared" si="8"/>
        <v>0.18293480285875072</v>
      </c>
      <c r="AI24" s="156"/>
      <c r="AJ24" s="159"/>
    </row>
    <row r="25" spans="1:45" x14ac:dyDescent="0.3">
      <c r="A25" s="1">
        <v>4</v>
      </c>
      <c r="B25" s="48">
        <v>45325</v>
      </c>
      <c r="C25" s="1">
        <v>0.3332</v>
      </c>
      <c r="D25" s="1">
        <f t="shared" si="7"/>
        <v>13.327999999999999</v>
      </c>
      <c r="E25" s="1"/>
      <c r="F25" s="1"/>
      <c r="I25" s="73" t="s">
        <v>105</v>
      </c>
      <c r="J25" s="69">
        <v>5.2298</v>
      </c>
      <c r="L25" s="35" t="s">
        <v>126</v>
      </c>
      <c r="M25" s="77">
        <f>M22/'Berechnungen Fütterungsmenge'!$F$21</f>
        <v>854.95380086674493</v>
      </c>
      <c r="N25" s="180"/>
      <c r="O25" s="176"/>
      <c r="Y25" s="43" t="s">
        <v>96</v>
      </c>
      <c r="Z25" s="21">
        <f>Z22*(AD22/100)</f>
        <v>1.2011107333333333</v>
      </c>
      <c r="AA25" s="172"/>
      <c r="AB25" s="178"/>
    </row>
    <row r="26" spans="1:45" x14ac:dyDescent="0.3">
      <c r="A26" s="1">
        <v>5</v>
      </c>
      <c r="B26" s="48">
        <v>45326</v>
      </c>
      <c r="C26" s="1">
        <v>0.36</v>
      </c>
      <c r="D26" s="1">
        <f t="shared" si="7"/>
        <v>14.4</v>
      </c>
      <c r="E26" s="1"/>
      <c r="F26" s="1"/>
      <c r="L26" s="36" t="s">
        <v>127</v>
      </c>
      <c r="M26" s="49">
        <f>M5*('Berechnungen Fütterungsmenge'!$F$5/100)+M11*('Berechnungen Fütterungsmenge'!$F$10/100)</f>
        <v>42.749072000000005</v>
      </c>
      <c r="N26" s="171">
        <f>AVERAGE(M26:M28)</f>
        <v>42.749072000000005</v>
      </c>
      <c r="O26" s="177">
        <f>_xlfn.STDEV.P(M26:M28)</f>
        <v>0</v>
      </c>
      <c r="Y26" s="44" t="s">
        <v>97</v>
      </c>
      <c r="Z26" s="10">
        <f>Z23*(AD22/100)</f>
        <v>1.2006743666666666</v>
      </c>
      <c r="AA26" s="173"/>
      <c r="AB26" s="179"/>
      <c r="AH26" s="85" t="s">
        <v>150</v>
      </c>
      <c r="AI26" s="89" t="s">
        <v>36</v>
      </c>
      <c r="AJ26" s="89" t="s">
        <v>7</v>
      </c>
      <c r="AK26" s="130"/>
      <c r="AL26" s="130"/>
      <c r="AM26" s="130"/>
      <c r="AN26" s="130"/>
      <c r="AO26" s="130"/>
      <c r="AP26" s="130"/>
      <c r="AQ26" s="130"/>
      <c r="AR26" s="133"/>
      <c r="AS26" s="133"/>
    </row>
    <row r="27" spans="1:45" ht="14.4" customHeight="1" x14ac:dyDescent="0.3">
      <c r="A27" s="1">
        <v>6</v>
      </c>
      <c r="B27" s="48">
        <v>45327</v>
      </c>
      <c r="C27" s="1">
        <v>0.49909999999999999</v>
      </c>
      <c r="D27" s="1">
        <f t="shared" si="7"/>
        <v>19.963999999999999</v>
      </c>
      <c r="E27" s="1"/>
      <c r="F27" s="1"/>
      <c r="L27" s="34" t="s">
        <v>128</v>
      </c>
      <c r="M27" s="50">
        <f>M6*('Berechnungen Fütterungsmenge'!$F$5/100)+M12*('Berechnungen Fütterungsmenge'!$F$10/100)</f>
        <v>42.749072000000005</v>
      </c>
      <c r="N27" s="172"/>
      <c r="O27" s="178"/>
      <c r="Y27" s="42" t="s">
        <v>98</v>
      </c>
      <c r="Z27" s="32">
        <f>Z18-Z24</f>
        <v>2.9681126958215009</v>
      </c>
      <c r="AA27" s="171">
        <f>AVERAGE(Z27:Z29)</f>
        <v>3.686291248779535</v>
      </c>
      <c r="AB27" s="177">
        <f>_xlfn.STDEV.P(Z27:Z29)</f>
        <v>1.3571783980837222</v>
      </c>
      <c r="AG27" s="90" t="s">
        <v>151</v>
      </c>
      <c r="AH27" s="32">
        <f>(Z18-Z24)/10</f>
        <v>0.29681126958215009</v>
      </c>
      <c r="AI27" s="154">
        <f>AVERAGE(AH27:AH29)</f>
        <v>0.36862912487795346</v>
      </c>
      <c r="AJ27" s="154">
        <f>_xlfn.STDEV.P(AH27:AH29)</f>
        <v>0.13571783980837224</v>
      </c>
      <c r="AK27" s="132"/>
      <c r="AL27" s="132"/>
      <c r="AM27" s="132"/>
      <c r="AN27" s="132"/>
      <c r="AO27" s="132"/>
      <c r="AP27" s="134"/>
      <c r="AQ27" s="130"/>
      <c r="AR27" s="135"/>
      <c r="AS27" s="135"/>
    </row>
    <row r="28" spans="1:45" x14ac:dyDescent="0.3">
      <c r="A28" s="1">
        <v>7</v>
      </c>
      <c r="B28" s="48">
        <v>45328</v>
      </c>
      <c r="C28" s="1">
        <v>0.67659999999999998</v>
      </c>
      <c r="D28" s="1">
        <f t="shared" si="7"/>
        <v>27.063999999999997</v>
      </c>
      <c r="E28" s="1"/>
      <c r="F28" s="1"/>
      <c r="L28" s="35" t="s">
        <v>129</v>
      </c>
      <c r="M28" s="51">
        <f>M7*('Berechnungen Fütterungsmenge'!$F$5/100)+M13*('Berechnungen Fütterungsmenge'!$F$10/100)</f>
        <v>42.749072000000005</v>
      </c>
      <c r="N28" s="173"/>
      <c r="O28" s="179"/>
      <c r="Y28" s="43" t="s">
        <v>99</v>
      </c>
      <c r="Z28" s="21">
        <f>Z19-Z25</f>
        <v>5.5868293505171049</v>
      </c>
      <c r="AA28" s="172"/>
      <c r="AB28" s="178"/>
      <c r="AG28" s="92" t="s">
        <v>152</v>
      </c>
      <c r="AH28" s="21">
        <f t="shared" ref="AH28:AH29" si="9">(Z19-Z25)/10</f>
        <v>0.55868293505171052</v>
      </c>
      <c r="AI28" s="155"/>
      <c r="AJ28" s="155"/>
      <c r="AK28" s="132"/>
      <c r="AL28" s="132"/>
      <c r="AM28" s="132"/>
      <c r="AN28" s="132"/>
      <c r="AO28" s="132"/>
      <c r="AP28" s="134"/>
      <c r="AQ28" s="130"/>
      <c r="AR28" s="135"/>
      <c r="AS28" s="135"/>
    </row>
    <row r="29" spans="1:45" x14ac:dyDescent="0.3">
      <c r="A29" s="1">
        <v>8</v>
      </c>
      <c r="B29" s="48">
        <v>45329</v>
      </c>
      <c r="C29" s="1">
        <v>0.84530000000000005</v>
      </c>
      <c r="D29" s="1">
        <f t="shared" si="7"/>
        <v>33.812000000000005</v>
      </c>
      <c r="E29" s="1"/>
      <c r="F29" s="1"/>
      <c r="Y29" s="44" t="s">
        <v>100</v>
      </c>
      <c r="Z29" s="10">
        <f>Z20-Z26</f>
        <v>2.5039316999999994</v>
      </c>
      <c r="AA29" s="173"/>
      <c r="AB29" s="179"/>
      <c r="AG29" s="94" t="s">
        <v>153</v>
      </c>
      <c r="AH29" s="10">
        <f t="shared" si="9"/>
        <v>0.25039316999999994</v>
      </c>
      <c r="AI29" s="156"/>
      <c r="AJ29" s="156"/>
      <c r="AK29" s="132"/>
      <c r="AL29" s="132"/>
      <c r="AM29" s="132"/>
      <c r="AN29" s="132"/>
      <c r="AO29" s="132"/>
      <c r="AP29" s="134"/>
      <c r="AQ29" s="130"/>
      <c r="AR29" s="135"/>
      <c r="AS29" s="135"/>
    </row>
    <row r="30" spans="1:45" x14ac:dyDescent="0.3">
      <c r="A30" s="1">
        <v>9</v>
      </c>
      <c r="B30" s="48">
        <v>45330</v>
      </c>
      <c r="C30" s="1">
        <v>0.64470000000000005</v>
      </c>
      <c r="D30" s="1">
        <f t="shared" si="7"/>
        <v>25.788</v>
      </c>
      <c r="E30" s="1"/>
      <c r="F30" s="1"/>
    </row>
    <row r="31" spans="1:45" ht="43.2" x14ac:dyDescent="0.3">
      <c r="A31" s="1">
        <v>10</v>
      </c>
      <c r="B31" s="48">
        <v>45331</v>
      </c>
      <c r="C31" s="1">
        <v>17.744800000000001</v>
      </c>
      <c r="D31" s="1">
        <f>C31/D33*1000</f>
        <v>21.175178997613365</v>
      </c>
      <c r="E31" s="1"/>
      <c r="F31" s="1"/>
      <c r="AC31" s="85"/>
      <c r="AD31" s="102" t="s">
        <v>131</v>
      </c>
      <c r="AG31" s="99"/>
      <c r="AH31" s="120" t="s">
        <v>185</v>
      </c>
      <c r="AI31" s="89" t="s">
        <v>36</v>
      </c>
      <c r="AJ31" s="89" t="s">
        <v>7</v>
      </c>
      <c r="AL31" s="136"/>
    </row>
    <row r="32" spans="1:45" x14ac:dyDescent="0.3">
      <c r="AC32" s="186" t="s">
        <v>154</v>
      </c>
      <c r="AD32" s="182">
        <f>Z2/AC2</f>
        <v>2.1555578093306285E-2</v>
      </c>
      <c r="AG32" s="126" t="s">
        <v>186</v>
      </c>
      <c r="AH32" s="32">
        <f>Z27</f>
        <v>2.9681126958215009</v>
      </c>
      <c r="AI32" s="154">
        <f>AVERAGE(AH32:AH34)</f>
        <v>3.686291248779535</v>
      </c>
      <c r="AJ32" s="157">
        <f>_xlfn.STDEV.P(AH32:AH34)</f>
        <v>1.3571783980837222</v>
      </c>
      <c r="AL32" s="137"/>
    </row>
    <row r="33" spans="1:38" x14ac:dyDescent="0.3">
      <c r="A33" s="53">
        <v>855</v>
      </c>
      <c r="B33" t="s">
        <v>119</v>
      </c>
      <c r="C33" t="s">
        <v>50</v>
      </c>
      <c r="D33" s="41">
        <v>838</v>
      </c>
      <c r="E33" t="s">
        <v>133</v>
      </c>
      <c r="F33">
        <v>3</v>
      </c>
      <c r="AC33" s="181"/>
      <c r="AD33" s="183"/>
      <c r="AG33" s="127" t="s">
        <v>187</v>
      </c>
      <c r="AH33" s="21">
        <f t="shared" ref="AH33:AH34" si="10">Z28</f>
        <v>5.5868293505171049</v>
      </c>
      <c r="AI33" s="155"/>
      <c r="AJ33" s="158"/>
      <c r="AL33" s="137"/>
    </row>
    <row r="34" spans="1:38" x14ac:dyDescent="0.3">
      <c r="A34" s="54">
        <v>25</v>
      </c>
      <c r="B34" t="s">
        <v>118</v>
      </c>
      <c r="C34" t="s">
        <v>74</v>
      </c>
      <c r="D34" s="41">
        <v>53.09</v>
      </c>
      <c r="AC34" s="181"/>
      <c r="AD34" s="184"/>
      <c r="AG34" s="128" t="s">
        <v>188</v>
      </c>
      <c r="AH34" s="10">
        <f t="shared" si="10"/>
        <v>2.5039316999999994</v>
      </c>
      <c r="AI34" s="156"/>
      <c r="AJ34" s="159"/>
      <c r="AL34" s="137"/>
    </row>
    <row r="35" spans="1:38" x14ac:dyDescent="0.3">
      <c r="AC35" s="181" t="s">
        <v>155</v>
      </c>
      <c r="AD35" s="182">
        <f>Z3/AC3</f>
        <v>2.117517899761337E-2</v>
      </c>
      <c r="AL35" s="138"/>
    </row>
    <row r="36" spans="1:38" x14ac:dyDescent="0.3">
      <c r="AC36" s="181"/>
      <c r="AD36" s="183"/>
      <c r="AG36" s="99"/>
      <c r="AH36" s="120" t="s">
        <v>189</v>
      </c>
      <c r="AI36" s="89" t="s">
        <v>36</v>
      </c>
      <c r="AJ36" s="89" t="s">
        <v>7</v>
      </c>
      <c r="AL36" s="138"/>
    </row>
    <row r="37" spans="1:38" x14ac:dyDescent="0.3">
      <c r="A37" s="5" t="s">
        <v>27</v>
      </c>
      <c r="AC37" s="181"/>
      <c r="AD37" s="184"/>
      <c r="AG37" s="126" t="s">
        <v>190</v>
      </c>
      <c r="AH37" s="32">
        <f>Z18*1000/AC2</f>
        <v>8.3879939553752525</v>
      </c>
      <c r="AI37" s="154">
        <f>AVERAGE(AH37:AH39)</f>
        <v>8.2124015623260167</v>
      </c>
      <c r="AJ37" s="157">
        <f>_xlfn.STDEV.P(AH37:AH39)</f>
        <v>0.1315774098918509</v>
      </c>
      <c r="AL37" s="138"/>
    </row>
    <row r="38" spans="1:38" x14ac:dyDescent="0.3">
      <c r="A38" s="52" t="s">
        <v>22</v>
      </c>
      <c r="B38" s="52" t="s">
        <v>23</v>
      </c>
      <c r="C38" s="52" t="s">
        <v>32</v>
      </c>
      <c r="D38" s="52" t="s">
        <v>33</v>
      </c>
      <c r="E38" s="52" t="s">
        <v>24</v>
      </c>
      <c r="F38" s="52" t="s">
        <v>25</v>
      </c>
      <c r="I38" s="65" t="s">
        <v>28</v>
      </c>
      <c r="J38" s="70">
        <v>146.84413911550018</v>
      </c>
      <c r="AC38" s="181" t="s">
        <v>156</v>
      </c>
      <c r="AD38" s="182">
        <f>Z4/AC4</f>
        <v>2.1885651214128034E-2</v>
      </c>
      <c r="AG38" s="127" t="s">
        <v>191</v>
      </c>
      <c r="AH38" s="21">
        <f t="shared" ref="AH38:AH39" si="11">Z19*1000/AC3</f>
        <v>8.0712723945902951</v>
      </c>
      <c r="AI38" s="155"/>
      <c r="AJ38" s="158"/>
      <c r="AL38" s="138"/>
    </row>
    <row r="39" spans="1:38" x14ac:dyDescent="0.3">
      <c r="A39" s="1">
        <v>0</v>
      </c>
      <c r="B39" s="48">
        <v>45321</v>
      </c>
      <c r="C39" s="1">
        <v>5.2279</v>
      </c>
      <c r="D39" s="1">
        <f>C39/A51*1000</f>
        <v>6.114502923976608</v>
      </c>
      <c r="E39" s="1"/>
      <c r="F39" s="1"/>
      <c r="I39" s="66" t="s">
        <v>29</v>
      </c>
      <c r="J39" s="71">
        <v>9.7199590738565274</v>
      </c>
      <c r="AC39" s="181"/>
      <c r="AD39" s="183"/>
      <c r="AG39" s="128" t="s">
        <v>192</v>
      </c>
      <c r="AH39" s="10">
        <f t="shared" si="11"/>
        <v>8.1779383370125078</v>
      </c>
      <c r="AI39" s="156"/>
      <c r="AJ39" s="159"/>
      <c r="AL39" s="138"/>
    </row>
    <row r="40" spans="1:38" x14ac:dyDescent="0.3">
      <c r="A40" s="1">
        <v>1</v>
      </c>
      <c r="B40" s="48">
        <v>45322</v>
      </c>
      <c r="C40" s="1">
        <v>0.17280000000000001</v>
      </c>
      <c r="D40" s="1">
        <f>C40/A$16*1000</f>
        <v>6.9120000000000008</v>
      </c>
      <c r="E40" s="1"/>
      <c r="F40" s="1"/>
      <c r="I40" s="67" t="s">
        <v>104</v>
      </c>
      <c r="J40" s="72">
        <v>5.2281824999999991</v>
      </c>
      <c r="AC40" s="185"/>
      <c r="AD40" s="184"/>
      <c r="AL40" s="138"/>
    </row>
    <row r="41" spans="1:38" x14ac:dyDescent="0.3">
      <c r="A41" s="1">
        <v>2</v>
      </c>
      <c r="B41" s="48">
        <v>45323</v>
      </c>
      <c r="C41" s="1">
        <v>0.29370000000000002</v>
      </c>
      <c r="D41" s="1">
        <f t="shared" ref="D41:D48" si="12">C41/A$16*1000</f>
        <v>11.748000000000001</v>
      </c>
      <c r="E41" s="1"/>
      <c r="F41" s="1"/>
      <c r="I41" s="66" t="s">
        <v>30</v>
      </c>
      <c r="J41" s="68">
        <v>146.84</v>
      </c>
      <c r="AG41" s="99"/>
      <c r="AH41" s="120" t="s">
        <v>180</v>
      </c>
      <c r="AI41" s="89" t="s">
        <v>36</v>
      </c>
      <c r="AJ41" s="89" t="s">
        <v>7</v>
      </c>
      <c r="AL41" s="138"/>
    </row>
    <row r="42" spans="1:38" x14ac:dyDescent="0.3">
      <c r="A42" s="1">
        <v>3</v>
      </c>
      <c r="B42" s="48">
        <v>45324</v>
      </c>
      <c r="C42" s="1">
        <v>0.36199999999999999</v>
      </c>
      <c r="D42" s="1">
        <f t="shared" si="12"/>
        <v>14.48</v>
      </c>
      <c r="E42" s="1"/>
      <c r="F42" s="1"/>
      <c r="I42" s="66" t="s">
        <v>31</v>
      </c>
      <c r="J42" s="68">
        <v>9.7200000000000006</v>
      </c>
      <c r="AG42" s="126" t="s">
        <v>193</v>
      </c>
      <c r="AH42" s="32">
        <f>AH32*1000/M23</f>
        <v>3.4715316175090698</v>
      </c>
      <c r="AI42" s="154">
        <f>AVERAGE(AH42:AH44)</f>
        <v>4.3108491089735903</v>
      </c>
      <c r="AJ42" s="157">
        <f>_xlfn.STDEV.P(AH42:AH44)</f>
        <v>1.5863441815797286</v>
      </c>
      <c r="AL42" s="139"/>
    </row>
    <row r="43" spans="1:38" x14ac:dyDescent="0.3">
      <c r="A43" s="1">
        <v>4</v>
      </c>
      <c r="B43" s="48">
        <v>45325</v>
      </c>
      <c r="C43" s="1">
        <v>0.35039999999999999</v>
      </c>
      <c r="D43" s="1">
        <f t="shared" si="12"/>
        <v>14.015999999999998</v>
      </c>
      <c r="E43" s="1"/>
      <c r="F43" s="1"/>
      <c r="I43" s="73" t="s">
        <v>105</v>
      </c>
      <c r="J43" s="69">
        <v>5.2279</v>
      </c>
      <c r="AG43" s="127" t="s">
        <v>194</v>
      </c>
      <c r="AH43" s="21">
        <f t="shared" ref="AH43:AH44" si="13">AH33*1000/M24</f>
        <v>6.5322823702984829</v>
      </c>
      <c r="AI43" s="155"/>
      <c r="AJ43" s="158"/>
      <c r="AL43" s="136"/>
    </row>
    <row r="44" spans="1:38" x14ac:dyDescent="0.3">
      <c r="A44" s="1">
        <v>5</v>
      </c>
      <c r="B44" s="48">
        <v>45326</v>
      </c>
      <c r="C44" s="1">
        <v>0.37730000000000002</v>
      </c>
      <c r="D44" s="1">
        <f t="shared" si="12"/>
        <v>15.092000000000001</v>
      </c>
      <c r="E44" s="1"/>
      <c r="F44" s="1"/>
      <c r="AG44" s="128" t="s">
        <v>195</v>
      </c>
      <c r="AH44" s="10">
        <f t="shared" si="13"/>
        <v>2.9287333391132186</v>
      </c>
      <c r="AI44" s="156"/>
      <c r="AJ44" s="159"/>
      <c r="AK44" s="97"/>
      <c r="AL44" s="97"/>
    </row>
    <row r="45" spans="1:38" x14ac:dyDescent="0.3">
      <c r="A45" s="1">
        <v>6</v>
      </c>
      <c r="B45" s="48">
        <v>45327</v>
      </c>
      <c r="C45" s="1">
        <v>0.53790000000000004</v>
      </c>
      <c r="D45" s="1">
        <f t="shared" si="12"/>
        <v>21.516000000000002</v>
      </c>
      <c r="E45" s="1"/>
      <c r="F45" s="1"/>
      <c r="AK45" s="97"/>
      <c r="AL45" s="97"/>
    </row>
    <row r="46" spans="1:38" x14ac:dyDescent="0.3">
      <c r="A46" s="1">
        <v>7</v>
      </c>
      <c r="B46" s="48">
        <v>45328</v>
      </c>
      <c r="C46" s="1">
        <v>0.72130000000000005</v>
      </c>
      <c r="D46" s="1">
        <f t="shared" si="12"/>
        <v>28.852000000000004</v>
      </c>
      <c r="E46" s="1"/>
      <c r="F46" s="1"/>
      <c r="AG46" s="99"/>
      <c r="AH46" s="120" t="s">
        <v>181</v>
      </c>
      <c r="AI46" s="89" t="s">
        <v>36</v>
      </c>
      <c r="AJ46" s="89" t="s">
        <v>7</v>
      </c>
      <c r="AK46" s="97"/>
      <c r="AL46" s="97"/>
    </row>
    <row r="47" spans="1:38" x14ac:dyDescent="0.3">
      <c r="A47" s="1">
        <v>8</v>
      </c>
      <c r="B47" s="48">
        <v>45329</v>
      </c>
      <c r="C47" s="1">
        <v>0.78480000000000005</v>
      </c>
      <c r="D47" s="1">
        <f t="shared" si="12"/>
        <v>31.392000000000003</v>
      </c>
      <c r="E47" s="1"/>
      <c r="F47" s="1"/>
      <c r="AG47" s="126" t="s">
        <v>196</v>
      </c>
      <c r="AH47" s="32">
        <f>AH27*1000/M23</f>
        <v>0.34715316175090699</v>
      </c>
      <c r="AI47" s="154">
        <f>AVERAGE(AH47:AH49)</f>
        <v>0.43108491089735906</v>
      </c>
      <c r="AJ47" s="157">
        <f>_xlfn.STDEV.P(AH47:AH49)</f>
        <v>0.1586344181579728</v>
      </c>
      <c r="AK47" s="98"/>
      <c r="AL47" s="98"/>
    </row>
    <row r="48" spans="1:38" x14ac:dyDescent="0.3">
      <c r="A48" s="1">
        <v>9</v>
      </c>
      <c r="B48" s="48">
        <v>45330</v>
      </c>
      <c r="C48" s="1">
        <v>0.96760000000000002</v>
      </c>
      <c r="D48" s="1">
        <f t="shared" si="12"/>
        <v>38.704000000000001</v>
      </c>
      <c r="E48" s="1"/>
      <c r="F48" s="1"/>
      <c r="AG48" s="127" t="s">
        <v>197</v>
      </c>
      <c r="AH48" s="21">
        <f t="shared" ref="AH48:AH49" si="14">AH28*1000/M24</f>
        <v>0.65322823702984834</v>
      </c>
      <c r="AI48" s="155"/>
      <c r="AJ48" s="158"/>
      <c r="AK48" s="98"/>
      <c r="AL48" s="98"/>
    </row>
    <row r="49" spans="1:38" x14ac:dyDescent="0.3">
      <c r="A49" s="1">
        <v>10</v>
      </c>
      <c r="B49" s="48">
        <v>45331</v>
      </c>
      <c r="C49" s="1">
        <v>9.9141999999999992</v>
      </c>
      <c r="D49" s="1">
        <f>C49/D51*1000</f>
        <v>21.885651214128035</v>
      </c>
      <c r="E49" s="1"/>
      <c r="F49" s="1"/>
      <c r="AG49" s="128" t="s">
        <v>198</v>
      </c>
      <c r="AH49" s="10">
        <f t="shared" si="14"/>
        <v>0.29287333391132181</v>
      </c>
      <c r="AI49" s="156"/>
      <c r="AJ49" s="159"/>
      <c r="AK49" s="98"/>
      <c r="AL49" s="98"/>
    </row>
    <row r="50" spans="1:38" x14ac:dyDescent="0.3">
      <c r="AK50" s="98"/>
      <c r="AL50" s="98"/>
    </row>
    <row r="51" spans="1:38" x14ac:dyDescent="0.3">
      <c r="A51" s="53">
        <v>855</v>
      </c>
      <c r="B51" t="s">
        <v>119</v>
      </c>
      <c r="C51" t="s">
        <v>50</v>
      </c>
      <c r="D51" s="41">
        <v>453</v>
      </c>
      <c r="E51" t="s">
        <v>133</v>
      </c>
      <c r="F51">
        <v>0</v>
      </c>
      <c r="AK51" s="98"/>
      <c r="AL51" s="98"/>
    </row>
    <row r="52" spans="1:38" x14ac:dyDescent="0.3">
      <c r="A52" s="54">
        <v>25</v>
      </c>
      <c r="B52" t="s">
        <v>118</v>
      </c>
      <c r="C52" t="s">
        <v>74</v>
      </c>
      <c r="D52" s="41">
        <v>57.98</v>
      </c>
      <c r="AK52" s="98"/>
      <c r="AL52" s="98"/>
    </row>
    <row r="53" spans="1:38" x14ac:dyDescent="0.3">
      <c r="AK53" s="98"/>
      <c r="AL53" s="98"/>
    </row>
  </sheetData>
  <mergeCells count="85">
    <mergeCell ref="AI7:AI9"/>
    <mergeCell ref="AI12:AI14"/>
    <mergeCell ref="AJ12:AJ14"/>
    <mergeCell ref="AJ27:AJ29"/>
    <mergeCell ref="AI17:AI19"/>
    <mergeCell ref="AJ17:AJ19"/>
    <mergeCell ref="AI22:AI24"/>
    <mergeCell ref="AJ22:AJ24"/>
    <mergeCell ref="N17:N19"/>
    <mergeCell ref="O17:O19"/>
    <mergeCell ref="N20:N22"/>
    <mergeCell ref="O20:O22"/>
    <mergeCell ref="AA24:AA26"/>
    <mergeCell ref="N23:N25"/>
    <mergeCell ref="O23:O25"/>
    <mergeCell ref="N26:N28"/>
    <mergeCell ref="O26:O28"/>
    <mergeCell ref="AB24:AB26"/>
    <mergeCell ref="AA27:AA29"/>
    <mergeCell ref="AB27:AB29"/>
    <mergeCell ref="S18:S20"/>
    <mergeCell ref="T18:T20"/>
    <mergeCell ref="AA18:AA20"/>
    <mergeCell ref="AB18:AB20"/>
    <mergeCell ref="AD2:AD4"/>
    <mergeCell ref="W10:W12"/>
    <mergeCell ref="W7:W9"/>
    <mergeCell ref="AA7:AA9"/>
    <mergeCell ref="AB7:AB9"/>
    <mergeCell ref="AD7:AD9"/>
    <mergeCell ref="AE7:AE9"/>
    <mergeCell ref="AB2:AB4"/>
    <mergeCell ref="AA21:AA23"/>
    <mergeCell ref="AB21:AB23"/>
    <mergeCell ref="AA13:AA15"/>
    <mergeCell ref="AB13:AB15"/>
    <mergeCell ref="AE13:AE15"/>
    <mergeCell ref="N14:N16"/>
    <mergeCell ref="O14:O16"/>
    <mergeCell ref="AA10:AA12"/>
    <mergeCell ref="AB10:AB12"/>
    <mergeCell ref="AD10:AD12"/>
    <mergeCell ref="N11:N13"/>
    <mergeCell ref="O11:O13"/>
    <mergeCell ref="S13:S15"/>
    <mergeCell ref="T13:T15"/>
    <mergeCell ref="V13:V15"/>
    <mergeCell ref="W13:W15"/>
    <mergeCell ref="N8:N10"/>
    <mergeCell ref="O8:O10"/>
    <mergeCell ref="S10:S12"/>
    <mergeCell ref="T10:T12"/>
    <mergeCell ref="V10:V12"/>
    <mergeCell ref="N5:N7"/>
    <mergeCell ref="O5:O7"/>
    <mergeCell ref="S7:S9"/>
    <mergeCell ref="T7:T9"/>
    <mergeCell ref="V7:V9"/>
    <mergeCell ref="N2:N4"/>
    <mergeCell ref="O2:O4"/>
    <mergeCell ref="S2:S4"/>
    <mergeCell ref="T2:T4"/>
    <mergeCell ref="AA2:AA4"/>
    <mergeCell ref="AI47:AI49"/>
    <mergeCell ref="AJ47:AJ49"/>
    <mergeCell ref="AC38:AC40"/>
    <mergeCell ref="AD38:AD40"/>
    <mergeCell ref="AI2:AI4"/>
    <mergeCell ref="AI27:AI29"/>
    <mergeCell ref="AJ2:AJ4"/>
    <mergeCell ref="AJ7:AJ9"/>
    <mergeCell ref="AC32:AC34"/>
    <mergeCell ref="AD32:AD34"/>
    <mergeCell ref="AC35:AC37"/>
    <mergeCell ref="AD35:AD37"/>
    <mergeCell ref="AD13:AD15"/>
    <mergeCell ref="AE2:AE4"/>
    <mergeCell ref="AC18:AC20"/>
    <mergeCell ref="AE10:AE12"/>
    <mergeCell ref="AI32:AI34"/>
    <mergeCell ref="AJ32:AJ34"/>
    <mergeCell ref="AI37:AI39"/>
    <mergeCell ref="AJ37:AJ39"/>
    <mergeCell ref="AI42:AI44"/>
    <mergeCell ref="AJ42:AJ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53"/>
  <sheetViews>
    <sheetView topLeftCell="AA20" zoomScale="84" workbookViewId="0">
      <selection activeCell="AG20" sqref="AG1:AY1048576"/>
    </sheetView>
  </sheetViews>
  <sheetFormatPr baseColWidth="10" defaultColWidth="9.21875" defaultRowHeight="14.4" x14ac:dyDescent="0.3"/>
  <cols>
    <col min="2" max="2" width="10.77734375" bestFit="1" customWidth="1"/>
    <col min="3" max="3" width="21.21875" customWidth="1"/>
    <col min="4" max="4" width="25.44140625" customWidth="1"/>
    <col min="5" max="5" width="22.77734375" customWidth="1"/>
    <col min="6" max="6" width="32.21875" customWidth="1"/>
    <col min="7" max="7" width="4.6640625" customWidth="1"/>
    <col min="8" max="8" width="4" customWidth="1"/>
    <col min="9" max="9" width="25.5546875" customWidth="1"/>
    <col min="11" max="11" width="4.77734375" customWidth="1"/>
    <col min="12" max="12" width="22.88671875" customWidth="1"/>
    <col min="13" max="13" width="11.44140625" customWidth="1"/>
    <col min="14" max="14" width="10.88671875" customWidth="1"/>
    <col min="15" max="15" width="10.33203125" customWidth="1"/>
    <col min="16" max="16" width="5.6640625" customWidth="1"/>
    <col min="17" max="17" width="24.6640625" customWidth="1"/>
    <col min="18" max="18" width="15.5546875" bestFit="1" customWidth="1"/>
    <col min="19" max="19" width="9.77734375" bestFit="1" customWidth="1"/>
    <col min="20" max="20" width="7.5546875" bestFit="1" customWidth="1"/>
    <col min="21" max="21" width="18.44140625" bestFit="1" customWidth="1"/>
    <col min="22" max="22" width="9.77734375" bestFit="1" customWidth="1"/>
    <col min="23" max="23" width="7.5546875" bestFit="1" customWidth="1"/>
    <col min="25" max="25" width="35.21875" bestFit="1" customWidth="1"/>
    <col min="26" max="26" width="15.5546875" bestFit="1" customWidth="1"/>
    <col min="27" max="27" width="9.77734375" bestFit="1" customWidth="1"/>
    <col min="28" max="28" width="7.5546875" bestFit="1" customWidth="1"/>
    <col min="29" max="29" width="27.88671875" customWidth="1"/>
    <col min="30" max="30" width="9.77734375" bestFit="1" customWidth="1"/>
    <col min="31" max="31" width="7.5546875" bestFit="1" customWidth="1"/>
    <col min="33" max="33" width="43.109375" style="85" bestFit="1" customWidth="1"/>
    <col min="34" max="36" width="18.77734375" style="85" customWidth="1"/>
    <col min="37" max="37" width="11" style="85" bestFit="1" customWidth="1"/>
    <col min="38" max="38" width="10.109375" style="85" bestFit="1" customWidth="1"/>
    <col min="39" max="39" width="9.33203125" style="85" bestFit="1" customWidth="1"/>
    <col min="40" max="41" width="9.21875" style="85"/>
    <col min="42" max="42" width="36.6640625" style="85" bestFit="1" customWidth="1"/>
    <col min="43" max="43" width="9.33203125" style="85" customWidth="1"/>
    <col min="44" max="44" width="9.21875" style="85"/>
    <col min="45" max="45" width="20.77734375" style="85" customWidth="1"/>
    <col min="46" max="47" width="9.33203125" style="85" bestFit="1" customWidth="1"/>
    <col min="48" max="48" width="14.5546875" style="85" bestFit="1" customWidth="1"/>
    <col min="49" max="50" width="9.33203125" style="85" bestFit="1" customWidth="1"/>
    <col min="51" max="51" width="9.21875" style="85"/>
  </cols>
  <sheetData>
    <row r="1" spans="1:50" x14ac:dyDescent="0.3">
      <c r="A1" s="5" t="s">
        <v>21</v>
      </c>
      <c r="L1" s="11"/>
      <c r="M1" s="11" t="s">
        <v>37</v>
      </c>
      <c r="N1" s="11" t="s">
        <v>36</v>
      </c>
      <c r="O1" s="11" t="s">
        <v>7</v>
      </c>
      <c r="R1" s="85" t="s">
        <v>61</v>
      </c>
      <c r="S1" s="85" t="s">
        <v>36</v>
      </c>
      <c r="T1" s="85" t="s">
        <v>7</v>
      </c>
      <c r="U1" s="85"/>
      <c r="V1" s="85"/>
      <c r="W1" s="85"/>
      <c r="Y1" s="85"/>
      <c r="Z1" s="85" t="s">
        <v>61</v>
      </c>
      <c r="AA1" s="85" t="s">
        <v>36</v>
      </c>
      <c r="AB1" s="85" t="s">
        <v>7</v>
      </c>
      <c r="AC1" s="85" t="s">
        <v>130</v>
      </c>
      <c r="AD1" s="85" t="s">
        <v>36</v>
      </c>
      <c r="AE1" s="85" t="s">
        <v>7</v>
      </c>
      <c r="AH1" s="85" t="s">
        <v>134</v>
      </c>
      <c r="AI1" s="85" t="s">
        <v>36</v>
      </c>
      <c r="AJ1" s="85" t="s">
        <v>7</v>
      </c>
      <c r="AK1" s="21"/>
      <c r="AL1" s="21"/>
      <c r="AM1" s="21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</row>
    <row r="2" spans="1:50" ht="14.4" customHeight="1" x14ac:dyDescent="0.3">
      <c r="A2" s="52" t="s">
        <v>22</v>
      </c>
      <c r="B2" s="52" t="s">
        <v>23</v>
      </c>
      <c r="C2" s="52" t="s">
        <v>32</v>
      </c>
      <c r="D2" s="52" t="s">
        <v>33</v>
      </c>
      <c r="E2" s="52" t="s">
        <v>24</v>
      </c>
      <c r="F2" s="52" t="s">
        <v>25</v>
      </c>
      <c r="I2" s="65" t="s">
        <v>28</v>
      </c>
      <c r="J2" s="70">
        <f>M2</f>
        <v>293.69900000000001</v>
      </c>
      <c r="L2" s="33" t="s">
        <v>38</v>
      </c>
      <c r="M2" s="49">
        <v>293.69900000000001</v>
      </c>
      <c r="N2" s="169">
        <f>AVERAGE(M2:M4)</f>
        <v>293.69900000000001</v>
      </c>
      <c r="O2" s="174">
        <f>_xlfn.STDEV.P(M2:M4)</f>
        <v>0</v>
      </c>
      <c r="P2" s="9"/>
      <c r="Q2" s="42" t="s">
        <v>58</v>
      </c>
      <c r="R2" s="32">
        <f>D16</f>
        <v>124.49</v>
      </c>
      <c r="S2" s="171">
        <f>AVERAGE(R2:R4)</f>
        <v>132.12666666666667</v>
      </c>
      <c r="T2" s="177">
        <f>_xlfn.STDEV.P(R2:R4)</f>
        <v>7.7129343025566852</v>
      </c>
      <c r="U2" s="85"/>
      <c r="V2" s="85"/>
      <c r="W2" s="85"/>
      <c r="Y2" s="42" t="s">
        <v>75</v>
      </c>
      <c r="Z2" s="78">
        <f>C13+F15*(D13/1000)</f>
        <v>45.743196562184025</v>
      </c>
      <c r="AA2" s="171">
        <f>AVERAGE(Z2:Z4)</f>
        <v>43.076750817302774</v>
      </c>
      <c r="AB2" s="177">
        <f>_xlfn.STDEV.P(Z2:Z4)</f>
        <v>3.9125955403331121</v>
      </c>
      <c r="AC2" s="32">
        <f>D15+F15</f>
        <v>994</v>
      </c>
      <c r="AD2" s="171">
        <f>AVERAGE(AC2:AC4)</f>
        <v>875.66666666666663</v>
      </c>
      <c r="AE2" s="177">
        <f>_xlfn.STDEV.P(AC2:AC4)</f>
        <v>84.751925576289352</v>
      </c>
      <c r="AG2" s="84" t="s">
        <v>135</v>
      </c>
      <c r="AH2" s="49">
        <f>M26/Z27</f>
        <v>5.9447920732044528</v>
      </c>
      <c r="AI2" s="160">
        <f>AVERAGE(AH2:AH4)</f>
        <v>6.8124486518756049</v>
      </c>
      <c r="AJ2" s="160">
        <f>_xlfn.STDEV.P(AH2:AH4)</f>
        <v>0.94678033552403584</v>
      </c>
      <c r="AK2" s="50"/>
      <c r="AL2" s="131"/>
      <c r="AM2" s="131"/>
      <c r="AN2" s="132"/>
      <c r="AO2" s="132"/>
      <c r="AP2" s="132"/>
      <c r="AQ2" s="132"/>
      <c r="AR2" s="132"/>
      <c r="AS2" s="130"/>
      <c r="AT2" s="131"/>
      <c r="AU2" s="131"/>
      <c r="AV2" s="130"/>
      <c r="AW2" s="131"/>
      <c r="AX2" s="131"/>
    </row>
    <row r="3" spans="1:50" x14ac:dyDescent="0.3">
      <c r="A3" s="1">
        <v>0</v>
      </c>
      <c r="B3" s="48">
        <v>45321</v>
      </c>
      <c r="C3" s="1">
        <v>5.2282999999999999</v>
      </c>
      <c r="D3" s="1">
        <f>C3/A15*1000</f>
        <v>6.1149707602339181</v>
      </c>
      <c r="E3" s="1"/>
      <c r="F3" s="1"/>
      <c r="I3" s="66" t="s">
        <v>29</v>
      </c>
      <c r="J3" s="71">
        <f>M8</f>
        <v>19.440000000000001</v>
      </c>
      <c r="L3" s="34" t="s">
        <v>39</v>
      </c>
      <c r="M3" s="50">
        <v>293.69900000000001</v>
      </c>
      <c r="N3" s="170"/>
      <c r="O3" s="175"/>
      <c r="P3" s="7"/>
      <c r="Q3" s="43" t="s">
        <v>59</v>
      </c>
      <c r="R3" s="21">
        <f>D34</f>
        <v>142.69</v>
      </c>
      <c r="S3" s="172"/>
      <c r="T3" s="178"/>
      <c r="U3" s="85"/>
      <c r="V3" s="85"/>
      <c r="W3" s="85"/>
      <c r="Y3" s="43" t="s">
        <v>76</v>
      </c>
      <c r="Z3" s="79">
        <f>C31+F33*(D31/1000)</f>
        <v>37.544699999999999</v>
      </c>
      <c r="AA3" s="172"/>
      <c r="AB3" s="178"/>
      <c r="AC3" s="21">
        <f>D33+F33</f>
        <v>833</v>
      </c>
      <c r="AD3" s="172"/>
      <c r="AE3" s="178"/>
      <c r="AG3" s="86" t="s">
        <v>136</v>
      </c>
      <c r="AH3" s="50">
        <f>M27/Z28</f>
        <v>8.129435223581341</v>
      </c>
      <c r="AI3" s="161"/>
      <c r="AJ3" s="161"/>
      <c r="AK3" s="50"/>
      <c r="AL3" s="131"/>
      <c r="AM3" s="131"/>
      <c r="AN3" s="132"/>
      <c r="AO3" s="132"/>
      <c r="AP3" s="132"/>
      <c r="AQ3" s="132"/>
      <c r="AR3" s="132"/>
      <c r="AS3" s="130"/>
      <c r="AT3" s="131"/>
      <c r="AU3" s="131"/>
      <c r="AV3" s="130"/>
      <c r="AW3" s="131"/>
      <c r="AX3" s="131"/>
    </row>
    <row r="4" spans="1:50" x14ac:dyDescent="0.3">
      <c r="A4" s="1">
        <v>1</v>
      </c>
      <c r="B4" s="48">
        <v>45322</v>
      </c>
      <c r="C4" s="1">
        <v>0.21490000000000001</v>
      </c>
      <c r="D4" s="1">
        <f>C4/A$16*1000</f>
        <v>8.5960000000000001</v>
      </c>
      <c r="E4" s="1"/>
      <c r="F4" s="1"/>
      <c r="I4" s="67" t="s">
        <v>104</v>
      </c>
      <c r="J4" s="72">
        <v>5.2281824999999991</v>
      </c>
      <c r="L4" s="34" t="s">
        <v>40</v>
      </c>
      <c r="M4" s="50">
        <v>293.69900000000001</v>
      </c>
      <c r="N4" s="170"/>
      <c r="O4" s="175"/>
      <c r="P4" s="8"/>
      <c r="Q4" s="44" t="s">
        <v>60</v>
      </c>
      <c r="R4" s="10">
        <f>D52</f>
        <v>129.19999999999999</v>
      </c>
      <c r="S4" s="173"/>
      <c r="T4" s="179"/>
      <c r="U4" s="85"/>
      <c r="V4" s="85"/>
      <c r="W4" s="85"/>
      <c r="Y4" s="44" t="s">
        <v>77</v>
      </c>
      <c r="Z4" s="80">
        <f>C49+F51*(D49/1000)</f>
        <v>45.942355889724311</v>
      </c>
      <c r="AA4" s="173"/>
      <c r="AB4" s="179"/>
      <c r="AC4" s="10">
        <f>D51+F51</f>
        <v>800</v>
      </c>
      <c r="AD4" s="173"/>
      <c r="AE4" s="179"/>
      <c r="AG4" s="87" t="s">
        <v>137</v>
      </c>
      <c r="AH4" s="51">
        <f>M28/Z29</f>
        <v>6.3631186588410218</v>
      </c>
      <c r="AI4" s="162"/>
      <c r="AJ4" s="162"/>
      <c r="AK4" s="50"/>
      <c r="AL4" s="131"/>
      <c r="AM4" s="131"/>
      <c r="AN4" s="132"/>
      <c r="AO4" s="132"/>
      <c r="AP4" s="132"/>
      <c r="AQ4" s="132"/>
      <c r="AR4" s="132"/>
      <c r="AS4" s="130"/>
      <c r="AT4" s="131"/>
      <c r="AU4" s="131"/>
      <c r="AV4" s="130"/>
      <c r="AW4" s="131"/>
      <c r="AX4" s="131"/>
    </row>
    <row r="5" spans="1:50" x14ac:dyDescent="0.3">
      <c r="A5" s="1">
        <v>2</v>
      </c>
      <c r="B5" s="48">
        <v>45323</v>
      </c>
      <c r="C5" s="1">
        <v>0.246</v>
      </c>
      <c r="D5" s="1">
        <f t="shared" ref="D5:D12" si="0">C5/A$16*1000</f>
        <v>9.84</v>
      </c>
      <c r="E5" s="1"/>
      <c r="F5" s="1"/>
      <c r="I5" s="66" t="s">
        <v>30</v>
      </c>
      <c r="J5" s="68">
        <v>293.69</v>
      </c>
      <c r="L5" s="36" t="s">
        <v>41</v>
      </c>
      <c r="M5" s="49">
        <f>J5</f>
        <v>293.69</v>
      </c>
      <c r="N5" s="169">
        <f>AVERAGE(M5:M7)</f>
        <v>293.69</v>
      </c>
      <c r="O5" s="174">
        <f>_xlfn.STDEV.P(M5:M7)</f>
        <v>0</v>
      </c>
      <c r="P5" s="8"/>
    </row>
    <row r="6" spans="1:50" x14ac:dyDescent="0.3">
      <c r="A6" s="1">
        <v>3</v>
      </c>
      <c r="B6" s="48">
        <v>45324</v>
      </c>
      <c r="C6" s="1">
        <v>0.37859999999999999</v>
      </c>
      <c r="D6" s="1">
        <f t="shared" si="0"/>
        <v>15.144</v>
      </c>
      <c r="E6" s="1"/>
      <c r="F6" s="1"/>
      <c r="I6" s="66" t="s">
        <v>31</v>
      </c>
      <c r="J6" s="68">
        <v>19.440000000000001</v>
      </c>
      <c r="L6" s="34" t="s">
        <v>42</v>
      </c>
      <c r="M6" s="50">
        <f>J23</f>
        <v>293.69</v>
      </c>
      <c r="N6" s="170"/>
      <c r="O6" s="175"/>
      <c r="R6" t="s">
        <v>14</v>
      </c>
      <c r="S6" t="s">
        <v>36</v>
      </c>
      <c r="T6" t="s">
        <v>7</v>
      </c>
      <c r="U6" t="s">
        <v>15</v>
      </c>
      <c r="V6" t="s">
        <v>36</v>
      </c>
      <c r="W6" t="s">
        <v>7</v>
      </c>
      <c r="Z6" t="s">
        <v>14</v>
      </c>
      <c r="AA6" t="s">
        <v>36</v>
      </c>
      <c r="AB6" t="s">
        <v>7</v>
      </c>
      <c r="AC6" t="s">
        <v>15</v>
      </c>
      <c r="AD6" t="s">
        <v>36</v>
      </c>
      <c r="AE6" t="s">
        <v>7</v>
      </c>
      <c r="AG6" s="88"/>
      <c r="AH6" s="88" t="s">
        <v>123</v>
      </c>
      <c r="AI6" s="88" t="s">
        <v>36</v>
      </c>
      <c r="AJ6" s="88" t="s">
        <v>7</v>
      </c>
      <c r="AK6" s="21"/>
      <c r="AL6" s="21"/>
      <c r="AM6" s="21"/>
      <c r="AN6" s="21"/>
    </row>
    <row r="7" spans="1:50" x14ac:dyDescent="0.3">
      <c r="A7" s="1">
        <v>4</v>
      </c>
      <c r="B7" s="48">
        <v>45325</v>
      </c>
      <c r="C7" s="1">
        <v>0.39379999999999998</v>
      </c>
      <c r="D7" s="1">
        <f t="shared" si="0"/>
        <v>15.751999999999999</v>
      </c>
      <c r="E7" s="1"/>
      <c r="F7" s="1"/>
      <c r="I7" s="73" t="s">
        <v>105</v>
      </c>
      <c r="J7" s="69">
        <v>5.2282999999999999</v>
      </c>
      <c r="L7" s="35" t="s">
        <v>43</v>
      </c>
      <c r="M7" s="51">
        <f>J41</f>
        <v>293.69</v>
      </c>
      <c r="N7" s="180"/>
      <c r="O7" s="176"/>
      <c r="Q7" s="45" t="s">
        <v>62</v>
      </c>
      <c r="R7" s="32">
        <v>60.04</v>
      </c>
      <c r="S7" s="171">
        <f>AVERAGE(R7:R9)</f>
        <v>58.693333333333328</v>
      </c>
      <c r="T7" s="171">
        <f>_xlfn.STDEV.P(R7:R9)</f>
        <v>1.1831408294122154</v>
      </c>
      <c r="U7" s="32">
        <f>100-R7</f>
        <v>39.96</v>
      </c>
      <c r="V7" s="171">
        <f>AVERAGE(U7:U9)</f>
        <v>41.306666666666665</v>
      </c>
      <c r="W7" s="177">
        <f>_xlfn.STDEV.P(U7:U9)</f>
        <v>1.1831408294122154</v>
      </c>
      <c r="Y7" s="45" t="s">
        <v>78</v>
      </c>
      <c r="Z7" s="32">
        <v>65.260000000000005</v>
      </c>
      <c r="AA7" s="171">
        <f>AVERAGE(Z7:Z9)</f>
        <v>65.933333333333323</v>
      </c>
      <c r="AB7" s="171">
        <f>_xlfn.STDEV.P(Z7:Z9)</f>
        <v>0.84838408492589645</v>
      </c>
      <c r="AC7" s="32">
        <f>100-Z7</f>
        <v>34.739999999999995</v>
      </c>
      <c r="AD7" s="171">
        <f>AVERAGE(AC7:AC9)</f>
        <v>34.06666666666667</v>
      </c>
      <c r="AE7" s="177">
        <f>_xlfn.STDEV.P(AC7:AC9)</f>
        <v>0.84838408492589656</v>
      </c>
      <c r="AG7" s="90" t="s">
        <v>138</v>
      </c>
      <c r="AH7" s="91">
        <f>AC2/M23*100</f>
        <v>116.25469719284149</v>
      </c>
      <c r="AI7" s="166">
        <f>AVERAGE(AH7:AH9)</f>
        <v>102.43802102174307</v>
      </c>
      <c r="AJ7" s="163">
        <f>_xlfn.STDEV.P(AH7:AH9)</f>
        <v>9.8964380614293592</v>
      </c>
      <c r="AK7" s="81"/>
      <c r="AL7" s="21"/>
      <c r="AM7" s="81"/>
      <c r="AN7" s="81"/>
    </row>
    <row r="8" spans="1:50" x14ac:dyDescent="0.3">
      <c r="A8" s="1">
        <v>5</v>
      </c>
      <c r="B8" s="48">
        <v>45326</v>
      </c>
      <c r="C8" s="1">
        <v>0.47110000000000002</v>
      </c>
      <c r="D8" s="1">
        <f t="shared" si="0"/>
        <v>18.844000000000001</v>
      </c>
      <c r="E8" s="1"/>
      <c r="F8" s="1"/>
      <c r="L8" s="36" t="s">
        <v>51</v>
      </c>
      <c r="M8" s="49">
        <v>19.440000000000001</v>
      </c>
      <c r="N8" s="171">
        <f>AVERAGE(M8:M10)</f>
        <v>19.440000000000001</v>
      </c>
      <c r="O8" s="177">
        <f>_xlfn.STDEV.P(M8:M10)</f>
        <v>0</v>
      </c>
      <c r="Q8" s="46" t="s">
        <v>63</v>
      </c>
      <c r="R8" s="21">
        <v>58.88</v>
      </c>
      <c r="S8" s="172"/>
      <c r="T8" s="172"/>
      <c r="U8" s="21">
        <f t="shared" ref="U8:U15" si="1">100-R8</f>
        <v>41.12</v>
      </c>
      <c r="V8" s="172"/>
      <c r="W8" s="178"/>
      <c r="Y8" s="46" t="s">
        <v>79</v>
      </c>
      <c r="Z8" s="21">
        <v>67.13</v>
      </c>
      <c r="AA8" s="172"/>
      <c r="AB8" s="172"/>
      <c r="AC8" s="21">
        <f t="shared" ref="AC8:AC15" si="2">100-Z8</f>
        <v>32.870000000000005</v>
      </c>
      <c r="AD8" s="172"/>
      <c r="AE8" s="178"/>
      <c r="AG8" s="92" t="s">
        <v>139</v>
      </c>
      <c r="AH8" s="93">
        <f t="shared" ref="AH8:AH9" si="3">AC3/M24*100</f>
        <v>97.461993507197548</v>
      </c>
      <c r="AI8" s="167"/>
      <c r="AJ8" s="164"/>
      <c r="AK8" s="81"/>
      <c r="AL8" s="21"/>
      <c r="AM8" s="81"/>
      <c r="AN8" s="81"/>
    </row>
    <row r="9" spans="1:50" x14ac:dyDescent="0.3">
      <c r="A9" s="1">
        <v>6</v>
      </c>
      <c r="B9" s="48">
        <v>45327</v>
      </c>
      <c r="C9" s="1">
        <v>0.72519999999999996</v>
      </c>
      <c r="D9" s="1">
        <f t="shared" si="0"/>
        <v>29.007999999999999</v>
      </c>
      <c r="E9" s="1"/>
      <c r="F9" s="1"/>
      <c r="I9" s="74" t="s">
        <v>122</v>
      </c>
      <c r="J9">
        <v>0.1</v>
      </c>
      <c r="L9" s="34" t="s">
        <v>52</v>
      </c>
      <c r="M9" s="50">
        <v>19.440000000000001</v>
      </c>
      <c r="N9" s="172"/>
      <c r="O9" s="178"/>
      <c r="Q9" s="47" t="s">
        <v>64</v>
      </c>
      <c r="R9" s="10">
        <v>57.16</v>
      </c>
      <c r="S9" s="173"/>
      <c r="T9" s="173"/>
      <c r="U9" s="10">
        <f t="shared" si="1"/>
        <v>42.84</v>
      </c>
      <c r="V9" s="173"/>
      <c r="W9" s="179"/>
      <c r="Y9" s="47" t="s">
        <v>80</v>
      </c>
      <c r="Z9" s="10">
        <v>65.41</v>
      </c>
      <c r="AA9" s="173"/>
      <c r="AB9" s="173"/>
      <c r="AC9" s="10">
        <f t="shared" si="2"/>
        <v>34.590000000000003</v>
      </c>
      <c r="AD9" s="173"/>
      <c r="AE9" s="179"/>
      <c r="AG9" s="94" t="s">
        <v>140</v>
      </c>
      <c r="AH9" s="95">
        <f t="shared" si="3"/>
        <v>93.597372365190196</v>
      </c>
      <c r="AI9" s="168"/>
      <c r="AJ9" s="165"/>
      <c r="AK9" s="81"/>
      <c r="AL9" s="21"/>
      <c r="AM9" s="81"/>
      <c r="AN9" s="81"/>
    </row>
    <row r="10" spans="1:50" x14ac:dyDescent="0.3">
      <c r="A10" s="1">
        <v>7</v>
      </c>
      <c r="B10" s="48">
        <v>45328</v>
      </c>
      <c r="C10" s="1">
        <v>1.3277000000000001</v>
      </c>
      <c r="D10" s="1">
        <f t="shared" si="0"/>
        <v>53.108000000000004</v>
      </c>
      <c r="E10" s="1"/>
      <c r="F10" s="1"/>
      <c r="L10" s="35" t="s">
        <v>53</v>
      </c>
      <c r="M10" s="51">
        <v>19.440000000000001</v>
      </c>
      <c r="N10" s="173"/>
      <c r="O10" s="179"/>
      <c r="Q10" s="45" t="s">
        <v>65</v>
      </c>
      <c r="R10" s="32">
        <v>60.53</v>
      </c>
      <c r="S10" s="171">
        <f>AVERAGE(R10:R12)</f>
        <v>61.873333333333335</v>
      </c>
      <c r="T10" s="171">
        <f>_xlfn.STDEV.P(R10:R12)</f>
        <v>0.98624991198422218</v>
      </c>
      <c r="U10" s="32">
        <f t="shared" si="1"/>
        <v>39.47</v>
      </c>
      <c r="V10" s="171">
        <f>AVERAGE(U10:U12)</f>
        <v>38.126666666666665</v>
      </c>
      <c r="W10" s="177">
        <f>_xlfn.STDEV.P(U10:U12)</f>
        <v>0.98624991198422218</v>
      </c>
      <c r="Y10" s="45" t="s">
        <v>81</v>
      </c>
      <c r="Z10" s="32">
        <v>70.150000000000006</v>
      </c>
      <c r="AA10" s="171">
        <f>AVERAGE(Z10:Z12)</f>
        <v>68.790000000000006</v>
      </c>
      <c r="AB10" s="171">
        <f>_xlfn.STDEV.P(Z10:Z12)</f>
        <v>0.98661035875364911</v>
      </c>
      <c r="AC10" s="32">
        <f t="shared" si="2"/>
        <v>29.849999999999994</v>
      </c>
      <c r="AD10" s="171">
        <f>AVERAGE(AC10:AC12)</f>
        <v>31.209999999999997</v>
      </c>
      <c r="AE10" s="177">
        <f>_xlfn.STDEV.P(AC10:AC12)</f>
        <v>0.98661035875364911</v>
      </c>
      <c r="AG10" s="21"/>
      <c r="AH10" s="21"/>
      <c r="AI10" s="21"/>
      <c r="AJ10" s="21"/>
      <c r="AK10" s="21"/>
      <c r="AL10" s="21"/>
      <c r="AM10" s="21"/>
      <c r="AN10" s="21"/>
    </row>
    <row r="11" spans="1:50" x14ac:dyDescent="0.3">
      <c r="A11" s="1">
        <v>8</v>
      </c>
      <c r="B11" s="48">
        <v>45329</v>
      </c>
      <c r="C11" s="1">
        <v>1.7356</v>
      </c>
      <c r="D11" s="1">
        <f t="shared" si="0"/>
        <v>69.424000000000007</v>
      </c>
      <c r="E11" s="1"/>
      <c r="F11" s="1"/>
      <c r="L11" s="36" t="s">
        <v>54</v>
      </c>
      <c r="M11" s="49">
        <f>J6</f>
        <v>19.440000000000001</v>
      </c>
      <c r="N11" s="171">
        <f>AVERAGE(M11:M13)</f>
        <v>19.440000000000001</v>
      </c>
      <c r="O11" s="177">
        <f>_xlfn.STDEV.P(M11:M13)</f>
        <v>0</v>
      </c>
      <c r="Q11" s="46" t="s">
        <v>66</v>
      </c>
      <c r="R11" s="21">
        <v>62.87</v>
      </c>
      <c r="S11" s="172"/>
      <c r="T11" s="172"/>
      <c r="U11" s="21">
        <f t="shared" si="1"/>
        <v>37.130000000000003</v>
      </c>
      <c r="V11" s="172"/>
      <c r="W11" s="178"/>
      <c r="Y11" s="46" t="s">
        <v>82</v>
      </c>
      <c r="Z11" s="21">
        <v>68.38</v>
      </c>
      <c r="AA11" s="172"/>
      <c r="AB11" s="172"/>
      <c r="AC11" s="21">
        <f t="shared" si="2"/>
        <v>31.620000000000005</v>
      </c>
      <c r="AD11" s="172"/>
      <c r="AE11" s="178"/>
      <c r="AH11" s="88" t="s">
        <v>141</v>
      </c>
      <c r="AI11" s="88" t="s">
        <v>36</v>
      </c>
      <c r="AJ11" s="88" t="s">
        <v>7</v>
      </c>
      <c r="AK11" s="21"/>
      <c r="AL11" s="21"/>
      <c r="AM11" s="21"/>
      <c r="AN11" s="21"/>
    </row>
    <row r="12" spans="1:50" x14ac:dyDescent="0.3">
      <c r="A12" s="1">
        <v>9</v>
      </c>
      <c r="B12" s="48">
        <v>45330</v>
      </c>
      <c r="C12" s="1">
        <v>1.4823999999999999</v>
      </c>
      <c r="D12" s="1">
        <f t="shared" si="0"/>
        <v>59.295999999999992</v>
      </c>
      <c r="E12" s="1"/>
      <c r="F12" s="1"/>
      <c r="L12" s="34" t="s">
        <v>55</v>
      </c>
      <c r="M12" s="56">
        <f>J24</f>
        <v>19.440000000000001</v>
      </c>
      <c r="N12" s="172"/>
      <c r="O12" s="178"/>
      <c r="Q12" s="47" t="s">
        <v>67</v>
      </c>
      <c r="R12" s="10">
        <v>62.22</v>
      </c>
      <c r="S12" s="173"/>
      <c r="T12" s="173"/>
      <c r="U12" s="10">
        <f t="shared" si="1"/>
        <v>37.78</v>
      </c>
      <c r="V12" s="173"/>
      <c r="W12" s="179"/>
      <c r="Y12" s="47" t="s">
        <v>83</v>
      </c>
      <c r="Z12" s="10">
        <v>67.84</v>
      </c>
      <c r="AA12" s="173"/>
      <c r="AB12" s="173"/>
      <c r="AC12" s="10">
        <f t="shared" si="2"/>
        <v>32.159999999999997</v>
      </c>
      <c r="AD12" s="173"/>
      <c r="AE12" s="179"/>
      <c r="AG12" s="90" t="s">
        <v>142</v>
      </c>
      <c r="AH12" s="91">
        <f>(M26-R18)/M26*100</f>
        <v>39.856859817216076</v>
      </c>
      <c r="AI12" s="166">
        <f>AVERAGE(AH12:AH14)</f>
        <v>39.944562256008425</v>
      </c>
      <c r="AJ12" s="163">
        <f>_xlfn.STDEV.P(AH12:AH14)</f>
        <v>2.9541084360531249</v>
      </c>
      <c r="AK12" s="129"/>
    </row>
    <row r="13" spans="1:50" x14ac:dyDescent="0.3">
      <c r="A13" s="1">
        <v>10</v>
      </c>
      <c r="B13" s="48">
        <v>45331</v>
      </c>
      <c r="C13" s="1">
        <v>45.513100000000001</v>
      </c>
      <c r="D13" s="1">
        <f>C13/D15*1000</f>
        <v>46.019312436804853</v>
      </c>
      <c r="E13" s="1"/>
      <c r="F13" s="1"/>
      <c r="L13" s="35" t="s">
        <v>56</v>
      </c>
      <c r="M13" s="51">
        <f>J42</f>
        <v>19.440000000000001</v>
      </c>
      <c r="N13" s="173"/>
      <c r="O13" s="179"/>
      <c r="Q13" s="45" t="s">
        <v>68</v>
      </c>
      <c r="R13" s="32">
        <v>61.24</v>
      </c>
      <c r="S13" s="171">
        <f>AVERAGE(R13:R15)</f>
        <v>62.680000000000007</v>
      </c>
      <c r="T13" s="171">
        <f>_xlfn.STDEV.P(R13:R15)</f>
        <v>1.8556580144699777</v>
      </c>
      <c r="U13" s="32">
        <f t="shared" si="1"/>
        <v>38.76</v>
      </c>
      <c r="V13" s="171">
        <f>AVERAGE(U13:U15)</f>
        <v>37.32</v>
      </c>
      <c r="W13" s="177">
        <f>_xlfn.STDEV.P(U13:U15)</f>
        <v>1.8556580144699777</v>
      </c>
      <c r="Y13" s="45" t="s">
        <v>84</v>
      </c>
      <c r="Z13" s="32">
        <v>67.069999999999993</v>
      </c>
      <c r="AA13" s="171">
        <f>AVERAGE(Z13:Z15)</f>
        <v>68.14</v>
      </c>
      <c r="AB13" s="171">
        <f>_xlfn.STDEV.P(Z13:Z15)</f>
        <v>1.1588212401689371</v>
      </c>
      <c r="AC13" s="32">
        <f t="shared" si="2"/>
        <v>32.930000000000007</v>
      </c>
      <c r="AD13" s="171">
        <f>AVERAGE(AC13:AC15)</f>
        <v>31.860000000000003</v>
      </c>
      <c r="AE13" s="177">
        <f>_xlfn.STDEV.P(AC13:AC15)</f>
        <v>1.1588212401689371</v>
      </c>
      <c r="AG13" s="92" t="s">
        <v>143</v>
      </c>
      <c r="AH13" s="93">
        <f t="shared" ref="AH13:AH14" si="4">(M27-R19)/M27*100</f>
        <v>36.371181634671586</v>
      </c>
      <c r="AI13" s="167"/>
      <c r="AJ13" s="164"/>
      <c r="AK13" s="129"/>
    </row>
    <row r="14" spans="1:50" x14ac:dyDescent="0.3">
      <c r="L14" s="36" t="s">
        <v>44</v>
      </c>
      <c r="M14" s="49">
        <f>M5+M11</f>
        <v>313.13</v>
      </c>
      <c r="N14" s="171">
        <f>AVERAGE(M14:M16)</f>
        <v>313.13</v>
      </c>
      <c r="O14" s="177">
        <f>_xlfn.STDEV.P(M14:M16)</f>
        <v>0</v>
      </c>
      <c r="Q14" s="46" t="s">
        <v>69</v>
      </c>
      <c r="R14" s="21">
        <v>61.5</v>
      </c>
      <c r="S14" s="172"/>
      <c r="T14" s="172"/>
      <c r="U14" s="21">
        <f t="shared" si="1"/>
        <v>38.5</v>
      </c>
      <c r="V14" s="172"/>
      <c r="W14" s="178"/>
      <c r="Y14" s="46" t="s">
        <v>85</v>
      </c>
      <c r="Z14" s="21">
        <v>69.75</v>
      </c>
      <c r="AA14" s="172"/>
      <c r="AB14" s="172"/>
      <c r="AC14" s="21">
        <f t="shared" si="2"/>
        <v>30.25</v>
      </c>
      <c r="AD14" s="172"/>
      <c r="AE14" s="178"/>
      <c r="AG14" s="94" t="s">
        <v>144</v>
      </c>
      <c r="AH14" s="95">
        <f t="shared" si="4"/>
        <v>43.605645316137618</v>
      </c>
      <c r="AI14" s="168"/>
      <c r="AJ14" s="165"/>
      <c r="AK14" s="129"/>
      <c r="AL14" s="89"/>
      <c r="AM14" s="89"/>
    </row>
    <row r="15" spans="1:50" x14ac:dyDescent="0.3">
      <c r="A15" s="53">
        <v>855</v>
      </c>
      <c r="B15" t="s">
        <v>119</v>
      </c>
      <c r="C15" t="s">
        <v>50</v>
      </c>
      <c r="D15" s="41">
        <v>989</v>
      </c>
      <c r="E15" t="s">
        <v>133</v>
      </c>
      <c r="F15">
        <v>5</v>
      </c>
      <c r="L15" s="34" t="s">
        <v>45</v>
      </c>
      <c r="M15" s="50">
        <f>M6+M12</f>
        <v>313.13</v>
      </c>
      <c r="N15" s="172"/>
      <c r="O15" s="178"/>
      <c r="Q15" s="47" t="s">
        <v>70</v>
      </c>
      <c r="R15" s="10">
        <v>65.3</v>
      </c>
      <c r="S15" s="173"/>
      <c r="T15" s="173"/>
      <c r="U15" s="10">
        <f t="shared" si="1"/>
        <v>34.700000000000003</v>
      </c>
      <c r="V15" s="173"/>
      <c r="W15" s="179"/>
      <c r="Y15" s="47" t="s">
        <v>86</v>
      </c>
      <c r="Z15" s="10">
        <v>67.599999999999994</v>
      </c>
      <c r="AA15" s="173"/>
      <c r="AB15" s="173"/>
      <c r="AC15" s="10">
        <f t="shared" si="2"/>
        <v>32.400000000000006</v>
      </c>
      <c r="AD15" s="173"/>
      <c r="AE15" s="179"/>
    </row>
    <row r="16" spans="1:50" x14ac:dyDescent="0.3">
      <c r="A16" s="54">
        <v>25</v>
      </c>
      <c r="B16" t="s">
        <v>118</v>
      </c>
      <c r="C16" t="s">
        <v>74</v>
      </c>
      <c r="D16" s="41">
        <v>124.49</v>
      </c>
      <c r="L16" s="35" t="s">
        <v>46</v>
      </c>
      <c r="M16" s="51">
        <f>M7+M13</f>
        <v>313.13</v>
      </c>
      <c r="N16" s="173"/>
      <c r="O16" s="179"/>
      <c r="AH16" s="96" t="s">
        <v>145</v>
      </c>
      <c r="AI16" s="89" t="s">
        <v>36</v>
      </c>
      <c r="AJ16" s="89" t="s">
        <v>7</v>
      </c>
      <c r="AL16" s="89"/>
      <c r="AM16" s="89"/>
    </row>
    <row r="17" spans="1:45" x14ac:dyDescent="0.3">
      <c r="L17" s="33" t="s">
        <v>106</v>
      </c>
      <c r="M17" s="49">
        <v>5.2281825</v>
      </c>
      <c r="N17" s="169">
        <f>AVERAGE(M17:M19)</f>
        <v>5.2281825</v>
      </c>
      <c r="O17" s="174">
        <f>_xlfn.STDEV.P(M17:M19)</f>
        <v>0</v>
      </c>
      <c r="R17" t="s">
        <v>61</v>
      </c>
      <c r="S17" t="s">
        <v>36</v>
      </c>
      <c r="T17" t="s">
        <v>7</v>
      </c>
      <c r="Z17" t="s">
        <v>61</v>
      </c>
      <c r="AA17" t="s">
        <v>36</v>
      </c>
      <c r="AB17" t="s">
        <v>7</v>
      </c>
      <c r="AG17" s="90" t="s">
        <v>182</v>
      </c>
      <c r="AH17" s="32">
        <f>AH12/10</f>
        <v>3.9856859817216077</v>
      </c>
      <c r="AI17" s="154">
        <f>AVERAGE(AH17:AH19)</f>
        <v>3.9944562256008425</v>
      </c>
      <c r="AJ17" s="157">
        <f>_xlfn.STDEV.P(AH17:AH19)</f>
        <v>0.29541084360531256</v>
      </c>
    </row>
    <row r="18" spans="1:45" x14ac:dyDescent="0.3">
      <c r="L18" s="34" t="s">
        <v>107</v>
      </c>
      <c r="M18" s="50">
        <v>5.2281825</v>
      </c>
      <c r="N18" s="170"/>
      <c r="O18" s="175"/>
      <c r="Q18" s="42" t="s">
        <v>71</v>
      </c>
      <c r="R18" s="32">
        <f>R2*(V7/100)</f>
        <v>51.422669333333324</v>
      </c>
      <c r="S18" s="171">
        <f>AVERAGE(R18:R20)</f>
        <v>51.347683333333322</v>
      </c>
      <c r="T18" s="177">
        <f>_xlfn.STDEV.P(R18:R20)</f>
        <v>2.5257766857583235</v>
      </c>
      <c r="Y18" s="42" t="s">
        <v>87</v>
      </c>
      <c r="Z18" s="32">
        <f>Z2*(AD7/100)</f>
        <v>15.583182295517359</v>
      </c>
      <c r="AA18" s="171">
        <f>AVERAGE(Z18:Z20)</f>
        <v>13.979372583994509</v>
      </c>
      <c r="AB18" s="177">
        <f>_xlfn.STDEV.P(Z18:Z20)</f>
        <v>1.6452099103107187</v>
      </c>
      <c r="AC18" s="187" t="s">
        <v>90</v>
      </c>
      <c r="AG18" s="92" t="s">
        <v>183</v>
      </c>
      <c r="AH18" s="21">
        <f t="shared" ref="AH18:AH19" si="5">AH13/10</f>
        <v>3.6371181634671585</v>
      </c>
      <c r="AI18" s="155"/>
      <c r="AJ18" s="158"/>
    </row>
    <row r="19" spans="1:45" x14ac:dyDescent="0.3">
      <c r="A19" s="5" t="s">
        <v>26</v>
      </c>
      <c r="L19" s="34" t="s">
        <v>108</v>
      </c>
      <c r="M19" s="50">
        <v>5.2281825</v>
      </c>
      <c r="N19" s="170"/>
      <c r="O19" s="175"/>
      <c r="Q19" s="43" t="s">
        <v>72</v>
      </c>
      <c r="R19" s="21">
        <f>R3*(V10/100)</f>
        <v>54.402940666666659</v>
      </c>
      <c r="S19" s="172"/>
      <c r="T19" s="178"/>
      <c r="Y19" s="43" t="s">
        <v>88</v>
      </c>
      <c r="Z19" s="21">
        <f>Z3*(AD10/100)</f>
        <v>11.71770087</v>
      </c>
      <c r="AA19" s="172"/>
      <c r="AB19" s="178"/>
      <c r="AC19" s="187"/>
      <c r="AG19" s="94" t="s">
        <v>184</v>
      </c>
      <c r="AH19" s="10">
        <f t="shared" si="5"/>
        <v>4.360564531613762</v>
      </c>
      <c r="AI19" s="156"/>
      <c r="AJ19" s="159"/>
    </row>
    <row r="20" spans="1:45" x14ac:dyDescent="0.3">
      <c r="A20" s="52" t="s">
        <v>22</v>
      </c>
      <c r="B20" s="52" t="s">
        <v>23</v>
      </c>
      <c r="C20" s="52" t="s">
        <v>32</v>
      </c>
      <c r="D20" s="52" t="s">
        <v>33</v>
      </c>
      <c r="E20" s="52" t="s">
        <v>24</v>
      </c>
      <c r="F20" s="52" t="s">
        <v>25</v>
      </c>
      <c r="I20" s="65" t="s">
        <v>28</v>
      </c>
      <c r="J20" s="70">
        <f>M2</f>
        <v>293.69900000000001</v>
      </c>
      <c r="L20" s="36" t="s">
        <v>109</v>
      </c>
      <c r="M20" s="49">
        <f>J7</f>
        <v>5.2282999999999999</v>
      </c>
      <c r="N20" s="169">
        <f>AVERAGE(M20:M22)</f>
        <v>5.227033333333333</v>
      </c>
      <c r="O20" s="174">
        <f>_xlfn.STDEV.P(M20:M22)</f>
        <v>8.9938250421545823E-4</v>
      </c>
      <c r="Q20" s="44" t="s">
        <v>73</v>
      </c>
      <c r="R20" s="10">
        <f>R4*(V13/100)</f>
        <v>48.217439999999989</v>
      </c>
      <c r="S20" s="173"/>
      <c r="T20" s="179"/>
      <c r="Y20" s="44" t="s">
        <v>89</v>
      </c>
      <c r="Z20" s="10">
        <f>Z4*(AD13/100)</f>
        <v>14.637234586466167</v>
      </c>
      <c r="AA20" s="173"/>
      <c r="AB20" s="179"/>
      <c r="AC20" s="187"/>
    </row>
    <row r="21" spans="1:45" x14ac:dyDescent="0.3">
      <c r="A21" s="1">
        <v>0</v>
      </c>
      <c r="B21" s="48">
        <v>45321</v>
      </c>
      <c r="C21" s="1">
        <v>5.2263000000000002</v>
      </c>
      <c r="D21" s="1">
        <f>C21/A33*1000</f>
        <v>6.1126315789473686</v>
      </c>
      <c r="E21" s="1"/>
      <c r="F21" s="1"/>
      <c r="I21" s="66" t="s">
        <v>29</v>
      </c>
      <c r="J21" s="71">
        <f>M8</f>
        <v>19.440000000000001</v>
      </c>
      <c r="L21" s="34" t="s">
        <v>110</v>
      </c>
      <c r="M21" s="50">
        <f>J25</f>
        <v>5.2263000000000002</v>
      </c>
      <c r="N21" s="170"/>
      <c r="O21" s="175"/>
      <c r="Y21" s="42" t="s">
        <v>91</v>
      </c>
      <c r="Z21" s="32">
        <f>M20</f>
        <v>5.2282999999999999</v>
      </c>
      <c r="AA21" s="171">
        <f>AVERAGE(Z21:Z23)</f>
        <v>5.227033333333333</v>
      </c>
      <c r="AB21" s="177">
        <f>_xlfn.STDEV.P(Z21:Z23)</f>
        <v>8.9938250421545823E-4</v>
      </c>
      <c r="AH21" s="85" t="s">
        <v>172</v>
      </c>
      <c r="AI21" s="89" t="s">
        <v>36</v>
      </c>
      <c r="AJ21" s="89" t="s">
        <v>7</v>
      </c>
    </row>
    <row r="22" spans="1:45" x14ac:dyDescent="0.3">
      <c r="A22" s="1">
        <v>1</v>
      </c>
      <c r="B22" s="48">
        <v>45322</v>
      </c>
      <c r="C22" s="1">
        <v>0.18759999999999999</v>
      </c>
      <c r="D22" s="1">
        <f>C22/A$16*1000</f>
        <v>7.5039999999999996</v>
      </c>
      <c r="E22" s="1"/>
      <c r="F22" s="1"/>
      <c r="I22" s="67" t="s">
        <v>104</v>
      </c>
      <c r="J22" s="72">
        <v>5.2281824999999991</v>
      </c>
      <c r="L22" s="35" t="s">
        <v>111</v>
      </c>
      <c r="M22" s="51">
        <f>J43</f>
        <v>5.2264999999999997</v>
      </c>
      <c r="N22" s="180"/>
      <c r="O22" s="176"/>
      <c r="Y22" s="43" t="s">
        <v>92</v>
      </c>
      <c r="Z22" s="21">
        <f t="shared" ref="Z22:Z23" si="6">M21</f>
        <v>5.2263000000000002</v>
      </c>
      <c r="AA22" s="172"/>
      <c r="AB22" s="178"/>
      <c r="AC22" t="s">
        <v>94</v>
      </c>
      <c r="AD22">
        <v>22.966666666666665</v>
      </c>
      <c r="AG22" s="90" t="s">
        <v>147</v>
      </c>
      <c r="AH22" s="32">
        <f>Z27/(M26-R18)</f>
        <v>0.42204645002554075</v>
      </c>
      <c r="AI22" s="154">
        <f>AVERAGE(AH22:AH24)</f>
        <v>0.37355173734006292</v>
      </c>
      <c r="AJ22" s="157">
        <f>_xlfn.STDEV.P(AH22:AH24)</f>
        <v>3.5467931646134834E-2</v>
      </c>
    </row>
    <row r="23" spans="1:45" x14ac:dyDescent="0.3">
      <c r="A23" s="1">
        <v>2</v>
      </c>
      <c r="B23" s="48">
        <v>45323</v>
      </c>
      <c r="C23" s="1">
        <v>0.22359999999999999</v>
      </c>
      <c r="D23" s="1">
        <f t="shared" ref="D23:D30" si="7">C23/A$16*1000</f>
        <v>8.9440000000000008</v>
      </c>
      <c r="E23" s="1"/>
      <c r="F23" s="1"/>
      <c r="I23" s="66" t="s">
        <v>30</v>
      </c>
      <c r="J23" s="68">
        <v>293.69</v>
      </c>
      <c r="L23" s="36" t="s">
        <v>124</v>
      </c>
      <c r="M23" s="75">
        <f>M20/'Berechnungen Fütterungsmenge'!$F$21</f>
        <v>855.01921556869922</v>
      </c>
      <c r="N23" s="169">
        <f>AVERAGE(M23:M25)</f>
        <v>854.81206901251062</v>
      </c>
      <c r="O23" s="174">
        <f>_xlfn.STDEV.P(M23:M25)</f>
        <v>0.14708209614035511</v>
      </c>
      <c r="Y23" s="44" t="s">
        <v>93</v>
      </c>
      <c r="Z23" s="10">
        <f t="shared" si="6"/>
        <v>5.2264999999999997</v>
      </c>
      <c r="AA23" s="173"/>
      <c r="AB23" s="179"/>
      <c r="AG23" s="92" t="s">
        <v>148</v>
      </c>
      <c r="AH23" s="21">
        <f t="shared" ref="AH23:AH24" si="8">Z28/(M27-R19)</f>
        <v>0.33820670583326129</v>
      </c>
      <c r="AI23" s="155"/>
      <c r="AJ23" s="158"/>
    </row>
    <row r="24" spans="1:45" x14ac:dyDescent="0.3">
      <c r="A24" s="1">
        <v>3</v>
      </c>
      <c r="B24" s="48">
        <v>45324</v>
      </c>
      <c r="C24" s="1">
        <v>0.31830000000000003</v>
      </c>
      <c r="D24" s="1">
        <f t="shared" si="7"/>
        <v>12.732000000000001</v>
      </c>
      <c r="E24" s="1"/>
      <c r="F24" s="1"/>
      <c r="I24" s="66" t="s">
        <v>31</v>
      </c>
      <c r="J24" s="68">
        <v>19.440000000000001</v>
      </c>
      <c r="L24" s="34" t="s">
        <v>125</v>
      </c>
      <c r="M24" s="76">
        <f>M21/'Berechnungen Fütterungsmenge'!$F$21</f>
        <v>854.69214205892786</v>
      </c>
      <c r="N24" s="170"/>
      <c r="O24" s="175"/>
      <c r="Y24" s="42" t="s">
        <v>95</v>
      </c>
      <c r="Z24" s="32">
        <f>Z21*(AD22/100)</f>
        <v>1.2007662333333333</v>
      </c>
      <c r="AA24" s="171">
        <f>AVERAGE(Z24:Z26)</f>
        <v>1.2004753222222222</v>
      </c>
      <c r="AB24" s="177">
        <f>_xlfn.STDEV.P(Z24:Z26)</f>
        <v>2.0655818180149698E-4</v>
      </c>
      <c r="AG24" s="94" t="s">
        <v>149</v>
      </c>
      <c r="AH24" s="10">
        <f t="shared" si="8"/>
        <v>0.3604020561613866</v>
      </c>
      <c r="AI24" s="156"/>
      <c r="AJ24" s="159"/>
    </row>
    <row r="25" spans="1:45" x14ac:dyDescent="0.3">
      <c r="A25" s="1">
        <v>4</v>
      </c>
      <c r="B25" s="48">
        <v>45325</v>
      </c>
      <c r="C25" s="1">
        <v>0.34739999999999999</v>
      </c>
      <c r="D25" s="1">
        <f t="shared" si="7"/>
        <v>13.895999999999999</v>
      </c>
      <c r="E25" s="1"/>
      <c r="F25" s="1"/>
      <c r="I25" s="73" t="s">
        <v>105</v>
      </c>
      <c r="J25" s="69">
        <v>5.2263000000000002</v>
      </c>
      <c r="L25" s="35" t="s">
        <v>126</v>
      </c>
      <c r="M25" s="77">
        <f>M22/'Berechnungen Fütterungsmenge'!$F$21</f>
        <v>854.724849409905</v>
      </c>
      <c r="N25" s="180"/>
      <c r="O25" s="176"/>
      <c r="Y25" s="43" t="s">
        <v>96</v>
      </c>
      <c r="Z25" s="21">
        <f>Z22*(AD22/100)</f>
        <v>1.2003069</v>
      </c>
      <c r="AA25" s="172"/>
      <c r="AB25" s="178"/>
    </row>
    <row r="26" spans="1:45" x14ac:dyDescent="0.3">
      <c r="A26" s="1">
        <v>5</v>
      </c>
      <c r="B26" s="48">
        <v>45326</v>
      </c>
      <c r="C26" s="1">
        <v>0.40479999999999999</v>
      </c>
      <c r="D26" s="1">
        <f t="shared" si="7"/>
        <v>16.191999999999997</v>
      </c>
      <c r="E26" s="1"/>
      <c r="F26" s="1"/>
      <c r="L26" s="36" t="s">
        <v>127</v>
      </c>
      <c r="M26" s="49">
        <f>M5*('Berechnungen Fütterungsmenge'!$F$5/100)+M11*('Berechnungen Fütterungsmenge'!$F$10/100)</f>
        <v>85.500473</v>
      </c>
      <c r="N26" s="171">
        <f>AVERAGE(M26:M28)</f>
        <v>85.500473</v>
      </c>
      <c r="O26" s="177">
        <f>_xlfn.STDEV.P(M26:M28)</f>
        <v>0</v>
      </c>
      <c r="Y26" s="44" t="s">
        <v>97</v>
      </c>
      <c r="Z26" s="10">
        <f>Z23*(AD22/100)</f>
        <v>1.2003528333333333</v>
      </c>
      <c r="AA26" s="173"/>
      <c r="AB26" s="179"/>
      <c r="AH26" s="85" t="s">
        <v>150</v>
      </c>
      <c r="AI26" s="89" t="s">
        <v>36</v>
      </c>
      <c r="AJ26" s="89" t="s">
        <v>7</v>
      </c>
      <c r="AK26" s="130"/>
      <c r="AL26" s="130"/>
      <c r="AM26" s="130"/>
      <c r="AN26" s="130"/>
      <c r="AO26" s="130"/>
      <c r="AP26" s="130"/>
      <c r="AQ26" s="130"/>
      <c r="AR26" s="133"/>
      <c r="AS26" s="133"/>
    </row>
    <row r="27" spans="1:45" ht="14.4" customHeight="1" x14ac:dyDescent="0.3">
      <c r="A27" s="1">
        <v>6</v>
      </c>
      <c r="B27" s="48">
        <v>45327</v>
      </c>
      <c r="C27" s="1">
        <v>0.54630000000000001</v>
      </c>
      <c r="D27" s="1">
        <f t="shared" si="7"/>
        <v>21.852</v>
      </c>
      <c r="E27" s="1"/>
      <c r="F27" s="1"/>
      <c r="L27" s="34" t="s">
        <v>128</v>
      </c>
      <c r="M27" s="50">
        <f>M6*('Berechnungen Fütterungsmenge'!$F$5/100)+M12*('Berechnungen Fütterungsmenge'!$F$10/100)</f>
        <v>85.500473</v>
      </c>
      <c r="N27" s="172"/>
      <c r="O27" s="178"/>
      <c r="Y27" s="42" t="s">
        <v>98</v>
      </c>
      <c r="Z27" s="32">
        <f>Z18-Z24</f>
        <v>14.382416062184026</v>
      </c>
      <c r="AA27" s="171">
        <f>AVERAGE(Z27:Z29)</f>
        <v>12.778897261772286</v>
      </c>
      <c r="AB27" s="177">
        <f>_xlfn.STDEV.P(Z27:Z29)</f>
        <v>1.6450545353515298</v>
      </c>
      <c r="AG27" s="90" t="s">
        <v>151</v>
      </c>
      <c r="AH27" s="32">
        <f>(Z18-Z24)/10</f>
        <v>1.4382416062184027</v>
      </c>
      <c r="AI27" s="154">
        <f>AVERAGE(AH27:AH29)</f>
        <v>1.2778897261772286</v>
      </c>
      <c r="AJ27" s="154">
        <f>_xlfn.STDEV.P(AH27:AH29)</f>
        <v>0.16450545353515239</v>
      </c>
      <c r="AK27" s="132"/>
      <c r="AL27" s="132"/>
      <c r="AM27" s="132"/>
      <c r="AN27" s="132"/>
      <c r="AO27" s="132"/>
      <c r="AP27" s="134"/>
      <c r="AQ27" s="130"/>
      <c r="AR27" s="135"/>
      <c r="AS27" s="135"/>
    </row>
    <row r="28" spans="1:45" x14ac:dyDescent="0.3">
      <c r="A28" s="1">
        <v>7</v>
      </c>
      <c r="B28" s="48">
        <v>45328</v>
      </c>
      <c r="C28" s="1">
        <v>1.1990000000000001</v>
      </c>
      <c r="D28" s="1">
        <f t="shared" si="7"/>
        <v>47.96</v>
      </c>
      <c r="E28" s="1"/>
      <c r="F28" s="1"/>
      <c r="L28" s="35" t="s">
        <v>129</v>
      </c>
      <c r="M28" s="51">
        <f>M7*('Berechnungen Fütterungsmenge'!$F$5/100)+M13*('Berechnungen Fütterungsmenge'!$F$10/100)</f>
        <v>85.500473</v>
      </c>
      <c r="N28" s="173"/>
      <c r="O28" s="179"/>
      <c r="Y28" s="43" t="s">
        <v>99</v>
      </c>
      <c r="Z28" s="21">
        <f>Z19-Z25</f>
        <v>10.517393970000001</v>
      </c>
      <c r="AA28" s="172"/>
      <c r="AB28" s="178"/>
      <c r="AG28" s="92" t="s">
        <v>152</v>
      </c>
      <c r="AH28" s="21">
        <f t="shared" ref="AH28:AH29" si="9">(Z19-Z25)/10</f>
        <v>1.051739397</v>
      </c>
      <c r="AI28" s="155"/>
      <c r="AJ28" s="155"/>
      <c r="AK28" s="132"/>
      <c r="AL28" s="132"/>
      <c r="AM28" s="132"/>
      <c r="AN28" s="132"/>
      <c r="AO28" s="132"/>
      <c r="AP28" s="134"/>
      <c r="AQ28" s="130"/>
      <c r="AR28" s="135"/>
      <c r="AS28" s="135"/>
    </row>
    <row r="29" spans="1:45" x14ac:dyDescent="0.3">
      <c r="A29" s="1">
        <v>8</v>
      </c>
      <c r="B29" s="48">
        <v>45329</v>
      </c>
      <c r="C29" s="1">
        <v>1.8522000000000001</v>
      </c>
      <c r="D29" s="1">
        <f t="shared" si="7"/>
        <v>74.088000000000008</v>
      </c>
      <c r="E29" s="1"/>
      <c r="F29" s="1"/>
      <c r="Y29" s="44" t="s">
        <v>100</v>
      </c>
      <c r="Z29" s="10">
        <f>Z20-Z26</f>
        <v>13.436881753132834</v>
      </c>
      <c r="AA29" s="173"/>
      <c r="AB29" s="179"/>
      <c r="AG29" s="94" t="s">
        <v>153</v>
      </c>
      <c r="AH29" s="10">
        <f t="shared" si="9"/>
        <v>1.3436881753132834</v>
      </c>
      <c r="AI29" s="156"/>
      <c r="AJ29" s="156"/>
      <c r="AK29" s="132"/>
      <c r="AL29" s="132"/>
      <c r="AM29" s="132"/>
      <c r="AN29" s="132"/>
      <c r="AO29" s="132"/>
      <c r="AP29" s="134"/>
      <c r="AQ29" s="130"/>
      <c r="AR29" s="135"/>
      <c r="AS29" s="135"/>
    </row>
    <row r="30" spans="1:45" x14ac:dyDescent="0.3">
      <c r="A30" s="1">
        <v>9</v>
      </c>
      <c r="B30" s="48">
        <v>45330</v>
      </c>
      <c r="C30" s="1">
        <v>1.6302000000000001</v>
      </c>
      <c r="D30" s="1">
        <f t="shared" si="7"/>
        <v>65.207999999999998</v>
      </c>
      <c r="E30" s="1"/>
      <c r="F30" s="1"/>
    </row>
    <row r="31" spans="1:45" ht="43.2" x14ac:dyDescent="0.3">
      <c r="A31" s="1">
        <v>10</v>
      </c>
      <c r="B31" s="48">
        <v>45331</v>
      </c>
      <c r="C31" s="1">
        <v>37.544699999999999</v>
      </c>
      <c r="D31" s="1">
        <f>C31/D33*1000</f>
        <v>45.071668667466987</v>
      </c>
      <c r="E31" s="1"/>
      <c r="F31" s="1"/>
      <c r="AC31" s="85"/>
      <c r="AD31" s="102" t="s">
        <v>131</v>
      </c>
      <c r="AG31" s="99"/>
      <c r="AH31" s="120" t="s">
        <v>185</v>
      </c>
      <c r="AI31" s="89" t="s">
        <v>36</v>
      </c>
      <c r="AJ31" s="89" t="s">
        <v>7</v>
      </c>
      <c r="AL31" s="136"/>
    </row>
    <row r="32" spans="1:45" x14ac:dyDescent="0.3">
      <c r="AC32" s="186" t="s">
        <v>154</v>
      </c>
      <c r="AD32" s="182">
        <f>Z2/AC2</f>
        <v>4.6019312436804856E-2</v>
      </c>
      <c r="AG32" s="126" t="s">
        <v>186</v>
      </c>
      <c r="AH32" s="32">
        <f>Z27</f>
        <v>14.382416062184026</v>
      </c>
      <c r="AI32" s="154">
        <f>AVERAGE(AH32:AH34)</f>
        <v>12.778897261772286</v>
      </c>
      <c r="AJ32" s="157">
        <f>_xlfn.STDEV.P(AH32:AH34)</f>
        <v>1.6450545353515298</v>
      </c>
      <c r="AL32" s="137"/>
    </row>
    <row r="33" spans="1:38" x14ac:dyDescent="0.3">
      <c r="A33" s="53">
        <v>855</v>
      </c>
      <c r="B33" t="s">
        <v>119</v>
      </c>
      <c r="C33" t="s">
        <v>50</v>
      </c>
      <c r="D33" s="41">
        <v>833</v>
      </c>
      <c r="E33" t="s">
        <v>133</v>
      </c>
      <c r="F33">
        <v>0</v>
      </c>
      <c r="AC33" s="181"/>
      <c r="AD33" s="183"/>
      <c r="AG33" s="127" t="s">
        <v>187</v>
      </c>
      <c r="AH33" s="21">
        <f t="shared" ref="AH33:AH34" si="10">Z28</f>
        <v>10.517393970000001</v>
      </c>
      <c r="AI33" s="155"/>
      <c r="AJ33" s="158"/>
      <c r="AL33" s="137"/>
    </row>
    <row r="34" spans="1:38" x14ac:dyDescent="0.3">
      <c r="A34" s="54">
        <v>25</v>
      </c>
      <c r="B34" t="s">
        <v>118</v>
      </c>
      <c r="C34" t="s">
        <v>74</v>
      </c>
      <c r="D34" s="41">
        <v>142.69</v>
      </c>
      <c r="AC34" s="181"/>
      <c r="AD34" s="184"/>
      <c r="AG34" s="128" t="s">
        <v>188</v>
      </c>
      <c r="AH34" s="10">
        <f t="shared" si="10"/>
        <v>13.436881753132834</v>
      </c>
      <c r="AI34" s="156"/>
      <c r="AJ34" s="159"/>
      <c r="AL34" s="137"/>
    </row>
    <row r="35" spans="1:38" x14ac:dyDescent="0.3">
      <c r="AC35" s="181" t="s">
        <v>155</v>
      </c>
      <c r="AD35" s="182">
        <f>Z3/AC3</f>
        <v>4.5071668667466987E-2</v>
      </c>
      <c r="AL35" s="138"/>
    </row>
    <row r="36" spans="1:38" x14ac:dyDescent="0.3">
      <c r="AC36" s="181"/>
      <c r="AD36" s="183"/>
      <c r="AG36" s="99"/>
      <c r="AH36" s="120" t="s">
        <v>189</v>
      </c>
      <c r="AI36" s="89" t="s">
        <v>36</v>
      </c>
      <c r="AJ36" s="89" t="s">
        <v>7</v>
      </c>
      <c r="AL36" s="138"/>
    </row>
    <row r="37" spans="1:38" x14ac:dyDescent="0.3">
      <c r="A37" s="5" t="s">
        <v>27</v>
      </c>
      <c r="AC37" s="181"/>
      <c r="AD37" s="184"/>
      <c r="AG37" s="126" t="s">
        <v>190</v>
      </c>
      <c r="AH37" s="32">
        <f>Z18*1000/AC2</f>
        <v>15.677245770138189</v>
      </c>
      <c r="AI37" s="154">
        <f>AVERAGE(AH37:AH39)</f>
        <v>16.013552264779115</v>
      </c>
      <c r="AJ37" s="157">
        <f>_xlfn.STDEV.P(AH37:AH39)</f>
        <v>1.7430557707364391</v>
      </c>
      <c r="AL37" s="138"/>
    </row>
    <row r="38" spans="1:38" x14ac:dyDescent="0.3">
      <c r="A38" s="52" t="s">
        <v>22</v>
      </c>
      <c r="B38" s="52" t="s">
        <v>23</v>
      </c>
      <c r="C38" s="52" t="s">
        <v>32</v>
      </c>
      <c r="D38" s="52" t="s">
        <v>33</v>
      </c>
      <c r="E38" s="52" t="s">
        <v>24</v>
      </c>
      <c r="F38" s="52" t="s">
        <v>25</v>
      </c>
      <c r="I38" s="65" t="s">
        <v>28</v>
      </c>
      <c r="J38" s="70">
        <f>M2</f>
        <v>293.69900000000001</v>
      </c>
      <c r="AC38" s="181" t="s">
        <v>156</v>
      </c>
      <c r="AD38" s="182">
        <f>Z4/AC4</f>
        <v>5.742794486215539E-2</v>
      </c>
      <c r="AG38" s="127" t="s">
        <v>191</v>
      </c>
      <c r="AH38" s="21">
        <f t="shared" ref="AH38:AH39" si="11">Z19*1000/AC3</f>
        <v>14.066867791116447</v>
      </c>
      <c r="AI38" s="155"/>
      <c r="AJ38" s="158"/>
      <c r="AL38" s="138"/>
    </row>
    <row r="39" spans="1:38" x14ac:dyDescent="0.3">
      <c r="A39" s="1">
        <v>0</v>
      </c>
      <c r="B39" s="48">
        <v>45321</v>
      </c>
      <c r="C39" s="1">
        <v>5.2264999999999997</v>
      </c>
      <c r="D39" s="1">
        <f>C39/A51*1000</f>
        <v>6.1128654970760232</v>
      </c>
      <c r="E39" s="1"/>
      <c r="F39" s="1"/>
      <c r="I39" s="66" t="s">
        <v>29</v>
      </c>
      <c r="J39" s="71">
        <f>M8</f>
        <v>19.440000000000001</v>
      </c>
      <c r="AC39" s="181"/>
      <c r="AD39" s="183"/>
      <c r="AG39" s="128" t="s">
        <v>192</v>
      </c>
      <c r="AH39" s="10">
        <f t="shared" si="11"/>
        <v>18.296543233082708</v>
      </c>
      <c r="AI39" s="156"/>
      <c r="AJ39" s="159"/>
      <c r="AL39" s="138"/>
    </row>
    <row r="40" spans="1:38" x14ac:dyDescent="0.3">
      <c r="A40" s="1">
        <v>1</v>
      </c>
      <c r="B40" s="48">
        <v>45322</v>
      </c>
      <c r="C40" s="1">
        <v>0.1603</v>
      </c>
      <c r="D40" s="1">
        <f>C40/A$16*1000</f>
        <v>6.4119999999999999</v>
      </c>
      <c r="E40" s="1"/>
      <c r="F40" s="1"/>
      <c r="I40" s="67" t="s">
        <v>104</v>
      </c>
      <c r="J40" s="72">
        <v>5.2281824999999991</v>
      </c>
      <c r="AC40" s="185"/>
      <c r="AD40" s="184"/>
      <c r="AL40" s="138"/>
    </row>
    <row r="41" spans="1:38" x14ac:dyDescent="0.3">
      <c r="A41" s="1">
        <v>2</v>
      </c>
      <c r="B41" s="48">
        <v>45323</v>
      </c>
      <c r="C41" s="1">
        <v>0.25719999999999998</v>
      </c>
      <c r="D41" s="1">
        <f t="shared" ref="D41:D48" si="12">C41/A$16*1000</f>
        <v>10.287999999999998</v>
      </c>
      <c r="E41" s="1"/>
      <c r="F41" s="1"/>
      <c r="I41" s="66" t="s">
        <v>30</v>
      </c>
      <c r="J41" s="68">
        <v>293.69</v>
      </c>
      <c r="AG41" s="99"/>
      <c r="AH41" s="120" t="s">
        <v>180</v>
      </c>
      <c r="AI41" s="89" t="s">
        <v>36</v>
      </c>
      <c r="AJ41" s="89" t="s">
        <v>7</v>
      </c>
      <c r="AL41" s="138"/>
    </row>
    <row r="42" spans="1:38" x14ac:dyDescent="0.3">
      <c r="A42" s="1">
        <v>3</v>
      </c>
      <c r="B42" s="48">
        <v>45324</v>
      </c>
      <c r="C42" s="1">
        <v>0.37430000000000002</v>
      </c>
      <c r="D42" s="1">
        <f t="shared" si="12"/>
        <v>14.972000000000001</v>
      </c>
      <c r="E42" s="1"/>
      <c r="F42" s="1"/>
      <c r="I42" s="66" t="s">
        <v>31</v>
      </c>
      <c r="J42" s="68">
        <v>19.440000000000001</v>
      </c>
      <c r="AG42" s="126" t="s">
        <v>193</v>
      </c>
      <c r="AH42" s="32">
        <f>AH32*1000/M23</f>
        <v>16.821161209362813</v>
      </c>
      <c r="AI42" s="154">
        <f>AVERAGE(AH42:AH44)</f>
        <v>14.949115968218484</v>
      </c>
      <c r="AJ42" s="157">
        <f>_xlfn.STDEV.P(AH42:AH44)</f>
        <v>1.922562652986594</v>
      </c>
      <c r="AL42" s="139"/>
    </row>
    <row r="43" spans="1:38" x14ac:dyDescent="0.3">
      <c r="A43" s="1">
        <v>4</v>
      </c>
      <c r="B43" s="48">
        <v>45325</v>
      </c>
      <c r="C43" s="1">
        <v>0.38729999999999998</v>
      </c>
      <c r="D43" s="1">
        <f t="shared" si="12"/>
        <v>15.491999999999999</v>
      </c>
      <c r="E43" s="1"/>
      <c r="F43" s="1"/>
      <c r="I43" s="73" t="s">
        <v>105</v>
      </c>
      <c r="J43" s="69">
        <v>5.2264999999999997</v>
      </c>
      <c r="AG43" s="127" t="s">
        <v>194</v>
      </c>
      <c r="AH43" s="21">
        <f t="shared" ref="AH43:AH44" si="13">AH33*1000/M24</f>
        <v>12.305476384355089</v>
      </c>
      <c r="AI43" s="155"/>
      <c r="AJ43" s="158"/>
      <c r="AL43" s="136"/>
    </row>
    <row r="44" spans="1:38" x14ac:dyDescent="0.3">
      <c r="A44" s="1">
        <v>5</v>
      </c>
      <c r="B44" s="48">
        <v>45326</v>
      </c>
      <c r="C44" s="1">
        <v>0.48399999999999999</v>
      </c>
      <c r="D44" s="1">
        <f t="shared" si="12"/>
        <v>19.36</v>
      </c>
      <c r="E44" s="1"/>
      <c r="F44" s="1"/>
      <c r="AG44" s="128" t="s">
        <v>195</v>
      </c>
      <c r="AH44" s="10">
        <f t="shared" si="13"/>
        <v>15.720710310937545</v>
      </c>
      <c r="AI44" s="156"/>
      <c r="AJ44" s="159"/>
      <c r="AK44" s="97"/>
      <c r="AL44" s="97"/>
    </row>
    <row r="45" spans="1:38" x14ac:dyDescent="0.3">
      <c r="A45" s="1">
        <v>6</v>
      </c>
      <c r="B45" s="48">
        <v>45327</v>
      </c>
      <c r="C45" s="1">
        <v>0.83009999999999995</v>
      </c>
      <c r="D45" s="1">
        <f t="shared" si="12"/>
        <v>33.204000000000001</v>
      </c>
      <c r="E45" s="1"/>
      <c r="F45" s="1"/>
      <c r="AK45" s="97"/>
      <c r="AL45" s="97"/>
    </row>
    <row r="46" spans="1:38" x14ac:dyDescent="0.3">
      <c r="A46" s="1">
        <v>7</v>
      </c>
      <c r="B46" s="48">
        <v>45328</v>
      </c>
      <c r="C46" s="1">
        <v>1.4186000000000001</v>
      </c>
      <c r="D46" s="1">
        <f t="shared" si="12"/>
        <v>56.744</v>
      </c>
      <c r="E46" s="1"/>
      <c r="F46" s="1"/>
      <c r="AG46" s="99"/>
      <c r="AH46" s="120" t="s">
        <v>181</v>
      </c>
      <c r="AI46" s="89" t="s">
        <v>36</v>
      </c>
      <c r="AJ46" s="89" t="s">
        <v>7</v>
      </c>
      <c r="AK46" s="97"/>
      <c r="AL46" s="97"/>
    </row>
    <row r="47" spans="1:38" x14ac:dyDescent="0.3">
      <c r="A47" s="1">
        <v>8</v>
      </c>
      <c r="B47" s="48">
        <v>45329</v>
      </c>
      <c r="C47" s="1">
        <v>1.7293000000000001</v>
      </c>
      <c r="D47" s="1">
        <f t="shared" si="12"/>
        <v>69.171999999999997</v>
      </c>
      <c r="E47" s="1"/>
      <c r="F47" s="1"/>
      <c r="AG47" s="126" t="s">
        <v>196</v>
      </c>
      <c r="AH47" s="32">
        <f>AH27*1000/M23</f>
        <v>1.6821161209362816</v>
      </c>
      <c r="AI47" s="154">
        <f>AVERAGE(AH47:AH49)</f>
        <v>1.4949115968218483</v>
      </c>
      <c r="AJ47" s="157">
        <f>_xlfn.STDEV.P(AH47:AH49)</f>
        <v>0.19225626529865986</v>
      </c>
      <c r="AK47" s="98"/>
      <c r="AL47" s="98"/>
    </row>
    <row r="48" spans="1:38" x14ac:dyDescent="0.3">
      <c r="A48" s="1">
        <v>9</v>
      </c>
      <c r="B48" s="48">
        <v>45330</v>
      </c>
      <c r="C48" s="1">
        <v>1.8309</v>
      </c>
      <c r="D48" s="1">
        <f t="shared" si="12"/>
        <v>73.23599999999999</v>
      </c>
      <c r="E48" s="1"/>
      <c r="F48" s="1"/>
      <c r="AG48" s="127" t="s">
        <v>197</v>
      </c>
      <c r="AH48" s="21">
        <f t="shared" ref="AH48:AH49" si="14">AH28*1000/M24</f>
        <v>1.2305476384355087</v>
      </c>
      <c r="AI48" s="155"/>
      <c r="AJ48" s="158"/>
      <c r="AK48" s="98"/>
      <c r="AL48" s="98"/>
    </row>
    <row r="49" spans="1:38" x14ac:dyDescent="0.3">
      <c r="A49" s="1">
        <v>10</v>
      </c>
      <c r="B49" s="48">
        <v>45331</v>
      </c>
      <c r="C49" s="1">
        <v>45.827500000000001</v>
      </c>
      <c r="D49" s="1">
        <f>C49/D51*1000</f>
        <v>57.427944862155393</v>
      </c>
      <c r="E49" s="1"/>
      <c r="F49" s="1"/>
      <c r="AG49" s="128" t="s">
        <v>198</v>
      </c>
      <c r="AH49" s="10">
        <f t="shared" si="14"/>
        <v>1.5720710310937545</v>
      </c>
      <c r="AI49" s="156"/>
      <c r="AJ49" s="159"/>
      <c r="AK49" s="98"/>
      <c r="AL49" s="98"/>
    </row>
    <row r="50" spans="1:38" x14ac:dyDescent="0.3">
      <c r="AK50" s="98"/>
      <c r="AL50" s="98"/>
    </row>
    <row r="51" spans="1:38" x14ac:dyDescent="0.3">
      <c r="A51" s="53">
        <v>855</v>
      </c>
      <c r="B51" t="s">
        <v>119</v>
      </c>
      <c r="C51" t="s">
        <v>50</v>
      </c>
      <c r="D51" s="41">
        <v>798</v>
      </c>
      <c r="E51" t="s">
        <v>133</v>
      </c>
      <c r="F51">
        <v>2</v>
      </c>
      <c r="AK51" s="98"/>
      <c r="AL51" s="98"/>
    </row>
    <row r="52" spans="1:38" x14ac:dyDescent="0.3">
      <c r="A52" s="54">
        <v>25</v>
      </c>
      <c r="B52" t="s">
        <v>118</v>
      </c>
      <c r="C52" t="s">
        <v>74</v>
      </c>
      <c r="D52" s="41">
        <v>129.19999999999999</v>
      </c>
      <c r="AK52" s="98"/>
      <c r="AL52" s="98"/>
    </row>
    <row r="53" spans="1:38" x14ac:dyDescent="0.3">
      <c r="AK53" s="98"/>
      <c r="AL53" s="98"/>
    </row>
  </sheetData>
  <mergeCells count="85">
    <mergeCell ref="AI7:AI9"/>
    <mergeCell ref="AI12:AI14"/>
    <mergeCell ref="AJ12:AJ14"/>
    <mergeCell ref="AJ27:AJ29"/>
    <mergeCell ref="AI17:AI19"/>
    <mergeCell ref="AJ17:AJ19"/>
    <mergeCell ref="AI22:AI24"/>
    <mergeCell ref="AJ22:AJ24"/>
    <mergeCell ref="N17:N19"/>
    <mergeCell ref="O17:O19"/>
    <mergeCell ref="N20:N22"/>
    <mergeCell ref="O20:O22"/>
    <mergeCell ref="AA24:AA26"/>
    <mergeCell ref="N23:N25"/>
    <mergeCell ref="O23:O25"/>
    <mergeCell ref="N26:N28"/>
    <mergeCell ref="O26:O28"/>
    <mergeCell ref="AB24:AB26"/>
    <mergeCell ref="AA27:AA29"/>
    <mergeCell ref="AB27:AB29"/>
    <mergeCell ref="S18:S20"/>
    <mergeCell ref="T18:T20"/>
    <mergeCell ref="AA18:AA20"/>
    <mergeCell ref="AB18:AB20"/>
    <mergeCell ref="AD2:AD4"/>
    <mergeCell ref="W10:W12"/>
    <mergeCell ref="W7:W9"/>
    <mergeCell ref="AA7:AA9"/>
    <mergeCell ref="AB7:AB9"/>
    <mergeCell ref="AD7:AD9"/>
    <mergeCell ref="AE7:AE9"/>
    <mergeCell ref="AB2:AB4"/>
    <mergeCell ref="AA21:AA23"/>
    <mergeCell ref="AB21:AB23"/>
    <mergeCell ref="AA13:AA15"/>
    <mergeCell ref="AB13:AB15"/>
    <mergeCell ref="AE13:AE15"/>
    <mergeCell ref="N14:N16"/>
    <mergeCell ref="O14:O16"/>
    <mergeCell ref="AA10:AA12"/>
    <mergeCell ref="AB10:AB12"/>
    <mergeCell ref="AD10:AD12"/>
    <mergeCell ref="N11:N13"/>
    <mergeCell ref="O11:O13"/>
    <mergeCell ref="S13:S15"/>
    <mergeCell ref="T13:T15"/>
    <mergeCell ref="V13:V15"/>
    <mergeCell ref="W13:W15"/>
    <mergeCell ref="N8:N10"/>
    <mergeCell ref="O8:O10"/>
    <mergeCell ref="S10:S12"/>
    <mergeCell ref="T10:T12"/>
    <mergeCell ref="V10:V12"/>
    <mergeCell ref="N5:N7"/>
    <mergeCell ref="O5:O7"/>
    <mergeCell ref="S7:S9"/>
    <mergeCell ref="T7:T9"/>
    <mergeCell ref="V7:V9"/>
    <mergeCell ref="N2:N4"/>
    <mergeCell ref="O2:O4"/>
    <mergeCell ref="S2:S4"/>
    <mergeCell ref="T2:T4"/>
    <mergeCell ref="AA2:AA4"/>
    <mergeCell ref="AI47:AI49"/>
    <mergeCell ref="AJ47:AJ49"/>
    <mergeCell ref="AC38:AC40"/>
    <mergeCell ref="AD38:AD40"/>
    <mergeCell ref="AI2:AI4"/>
    <mergeCell ref="AI27:AI29"/>
    <mergeCell ref="AJ2:AJ4"/>
    <mergeCell ref="AJ7:AJ9"/>
    <mergeCell ref="AC32:AC34"/>
    <mergeCell ref="AD32:AD34"/>
    <mergeCell ref="AC35:AC37"/>
    <mergeCell ref="AD35:AD37"/>
    <mergeCell ref="AD13:AD15"/>
    <mergeCell ref="AE2:AE4"/>
    <mergeCell ref="AC18:AC20"/>
    <mergeCell ref="AE10:AE12"/>
    <mergeCell ref="AI32:AI34"/>
    <mergeCell ref="AJ32:AJ34"/>
    <mergeCell ref="AI37:AI39"/>
    <mergeCell ref="AJ37:AJ39"/>
    <mergeCell ref="AI42:AI44"/>
    <mergeCell ref="AJ42:AJ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53"/>
  <sheetViews>
    <sheetView topLeftCell="R15" zoomScale="84" workbookViewId="0">
      <selection activeCell="AG15" sqref="AG1:AY1048576"/>
    </sheetView>
  </sheetViews>
  <sheetFormatPr baseColWidth="10" defaultColWidth="9.21875" defaultRowHeight="14.4" x14ac:dyDescent="0.3"/>
  <cols>
    <col min="2" max="2" width="10.77734375" bestFit="1" customWidth="1"/>
    <col min="3" max="3" width="21.21875" customWidth="1"/>
    <col min="4" max="4" width="25.44140625" customWidth="1"/>
    <col min="5" max="5" width="22.77734375" customWidth="1"/>
    <col min="6" max="6" width="32.21875" customWidth="1"/>
    <col min="7" max="7" width="4.6640625" customWidth="1"/>
    <col min="8" max="8" width="4" customWidth="1"/>
    <col min="9" max="9" width="25.5546875" customWidth="1"/>
    <col min="11" max="11" width="4.77734375" customWidth="1"/>
    <col min="12" max="12" width="22.88671875" customWidth="1"/>
    <col min="13" max="13" width="11.44140625" customWidth="1"/>
    <col min="14" max="14" width="10.88671875" customWidth="1"/>
    <col min="15" max="15" width="10.33203125" customWidth="1"/>
    <col min="16" max="16" width="5.6640625" customWidth="1"/>
    <col min="17" max="17" width="24.6640625" customWidth="1"/>
    <col min="18" max="18" width="15.5546875" bestFit="1" customWidth="1"/>
    <col min="19" max="19" width="9.77734375" bestFit="1" customWidth="1"/>
    <col min="20" max="20" width="7.5546875" bestFit="1" customWidth="1"/>
    <col min="21" max="21" width="18.44140625" bestFit="1" customWidth="1"/>
    <col min="22" max="22" width="9.77734375" bestFit="1" customWidth="1"/>
    <col min="23" max="23" width="7.5546875" bestFit="1" customWidth="1"/>
    <col min="25" max="25" width="35.21875" bestFit="1" customWidth="1"/>
    <col min="26" max="26" width="15.5546875" bestFit="1" customWidth="1"/>
    <col min="27" max="27" width="9.77734375" bestFit="1" customWidth="1"/>
    <col min="28" max="28" width="7.5546875" bestFit="1" customWidth="1"/>
    <col min="29" max="29" width="27.88671875" customWidth="1"/>
    <col min="30" max="30" width="9.77734375" bestFit="1" customWidth="1"/>
    <col min="31" max="31" width="7.5546875" bestFit="1" customWidth="1"/>
    <col min="33" max="33" width="43.109375" style="85" bestFit="1" customWidth="1"/>
    <col min="34" max="36" width="18.77734375" style="85" customWidth="1"/>
    <col min="37" max="37" width="11" style="85" bestFit="1" customWidth="1"/>
    <col min="38" max="38" width="10.109375" style="85" bestFit="1" customWidth="1"/>
    <col min="39" max="39" width="9.33203125" style="85" bestFit="1" customWidth="1"/>
    <col min="40" max="41" width="9.21875" style="85"/>
    <col min="42" max="42" width="36.6640625" style="85" bestFit="1" customWidth="1"/>
    <col min="43" max="43" width="9.33203125" style="85" customWidth="1"/>
    <col min="44" max="44" width="9.21875" style="85"/>
    <col min="45" max="45" width="20.77734375" style="85" customWidth="1"/>
    <col min="46" max="47" width="9.33203125" style="85" bestFit="1" customWidth="1"/>
    <col min="48" max="48" width="14.5546875" style="85" bestFit="1" customWidth="1"/>
    <col min="49" max="50" width="9.33203125" style="85" bestFit="1" customWidth="1"/>
    <col min="51" max="51" width="9.21875" style="85"/>
  </cols>
  <sheetData>
    <row r="1" spans="1:50" x14ac:dyDescent="0.3">
      <c r="A1" s="5" t="s">
        <v>21</v>
      </c>
      <c r="L1" s="11"/>
      <c r="M1" s="11" t="s">
        <v>37</v>
      </c>
      <c r="N1" s="11" t="s">
        <v>36</v>
      </c>
      <c r="O1" s="11" t="s">
        <v>7</v>
      </c>
      <c r="R1" t="s">
        <v>61</v>
      </c>
      <c r="S1" t="s">
        <v>36</v>
      </c>
      <c r="T1" t="s">
        <v>7</v>
      </c>
      <c r="Y1" s="85"/>
      <c r="Z1" s="85" t="s">
        <v>61</v>
      </c>
      <c r="AA1" s="85" t="s">
        <v>36</v>
      </c>
      <c r="AB1" s="85" t="s">
        <v>7</v>
      </c>
      <c r="AC1" s="85" t="s">
        <v>130</v>
      </c>
      <c r="AD1" s="85" t="s">
        <v>36</v>
      </c>
      <c r="AE1" s="85" t="s">
        <v>7</v>
      </c>
      <c r="AH1" s="85" t="s">
        <v>134</v>
      </c>
      <c r="AI1" s="85" t="s">
        <v>36</v>
      </c>
      <c r="AJ1" s="85" t="s">
        <v>7</v>
      </c>
      <c r="AK1" s="21"/>
      <c r="AL1" s="21"/>
      <c r="AM1" s="21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</row>
    <row r="2" spans="1:50" ht="14.4" customHeight="1" x14ac:dyDescent="0.3">
      <c r="A2" s="52" t="s">
        <v>22</v>
      </c>
      <c r="B2" s="52" t="s">
        <v>23</v>
      </c>
      <c r="C2" s="52" t="s">
        <v>32</v>
      </c>
      <c r="D2" s="52" t="s">
        <v>33</v>
      </c>
      <c r="E2" s="52" t="s">
        <v>24</v>
      </c>
      <c r="F2" s="52" t="s">
        <v>25</v>
      </c>
      <c r="I2" s="65" t="s">
        <v>28</v>
      </c>
      <c r="J2" s="70">
        <f>M2</f>
        <v>440.53199999999998</v>
      </c>
      <c r="L2" s="33" t="s">
        <v>38</v>
      </c>
      <c r="M2" s="49">
        <v>440.53199999999998</v>
      </c>
      <c r="N2" s="169">
        <f>AVERAGE(M2:M4)</f>
        <v>440.53199999999998</v>
      </c>
      <c r="O2" s="174">
        <f>_xlfn.STDEV.P(M2:M4)</f>
        <v>0</v>
      </c>
      <c r="P2" s="9"/>
      <c r="Q2" s="42" t="s">
        <v>58</v>
      </c>
      <c r="R2" s="32">
        <f>D16</f>
        <v>241.84</v>
      </c>
      <c r="S2" s="171">
        <f>AVERAGE(R2:R4)</f>
        <v>241.05999999999997</v>
      </c>
      <c r="T2" s="177">
        <f>_xlfn.STDEV.P(R2:R4)</f>
        <v>5.3358098416891391</v>
      </c>
      <c r="Y2" s="42" t="s">
        <v>75</v>
      </c>
      <c r="Z2" s="78">
        <f>C13+F15*(D13/1000)</f>
        <v>54.226202417302801</v>
      </c>
      <c r="AA2" s="171">
        <f>AVERAGE(Z2:Z4)</f>
        <v>56.82352357979854</v>
      </c>
      <c r="AB2" s="177">
        <f>_xlfn.STDEV.P(Z2:Z4)</f>
        <v>2.1520745378032857</v>
      </c>
      <c r="AC2" s="32">
        <f>D15+F15</f>
        <v>787</v>
      </c>
      <c r="AD2" s="171">
        <f>AVERAGE(AC2:AC4)</f>
        <v>782</v>
      </c>
      <c r="AE2" s="177">
        <f>_xlfn.STDEV.P(AC2:AC4)</f>
        <v>62.561969278468212</v>
      </c>
      <c r="AG2" s="84" t="s">
        <v>135</v>
      </c>
      <c r="AH2" s="49">
        <f>M26/Z27</f>
        <v>8.5609060331264697</v>
      </c>
      <c r="AI2" s="160">
        <f>AVERAGE(AH2:AH4)</f>
        <v>8.1360655474596619</v>
      </c>
      <c r="AJ2" s="160">
        <f>_xlfn.STDEV.P(AH2:AH4)</f>
        <v>0.30440974118850989</v>
      </c>
      <c r="AK2" s="50"/>
      <c r="AL2" s="131"/>
      <c r="AM2" s="131"/>
      <c r="AN2" s="132"/>
      <c r="AO2" s="132"/>
      <c r="AP2" s="132"/>
      <c r="AQ2" s="132"/>
      <c r="AR2" s="132"/>
      <c r="AS2" s="130"/>
      <c r="AT2" s="131"/>
      <c r="AU2" s="131"/>
      <c r="AV2" s="130"/>
      <c r="AW2" s="131"/>
      <c r="AX2" s="131"/>
    </row>
    <row r="3" spans="1:50" x14ac:dyDescent="0.3">
      <c r="A3" s="1">
        <v>0</v>
      </c>
      <c r="B3" s="48">
        <v>45321</v>
      </c>
      <c r="C3" s="1">
        <v>5.2260999999999997</v>
      </c>
      <c r="D3" s="1">
        <f>C3/A15*1000</f>
        <v>6.1123976608187132</v>
      </c>
      <c r="E3" s="1"/>
      <c r="F3" s="1"/>
      <c r="I3" s="66" t="s">
        <v>29</v>
      </c>
      <c r="J3" s="71">
        <f>M8</f>
        <v>29.16</v>
      </c>
      <c r="L3" s="34" t="s">
        <v>39</v>
      </c>
      <c r="M3" s="50">
        <v>440.53199999999998</v>
      </c>
      <c r="N3" s="170"/>
      <c r="O3" s="175"/>
      <c r="P3" s="7"/>
      <c r="Q3" s="43" t="s">
        <v>59</v>
      </c>
      <c r="R3" s="21">
        <f>D34</f>
        <v>234.17</v>
      </c>
      <c r="S3" s="172"/>
      <c r="T3" s="178"/>
      <c r="Y3" s="43" t="s">
        <v>76</v>
      </c>
      <c r="Z3" s="79">
        <f>C31+F33*(D31/1000)</f>
        <v>56.748292131616601</v>
      </c>
      <c r="AA3" s="172"/>
      <c r="AB3" s="178"/>
      <c r="AC3" s="21">
        <f>D33+F33</f>
        <v>703</v>
      </c>
      <c r="AD3" s="172"/>
      <c r="AE3" s="178"/>
      <c r="AG3" s="86" t="s">
        <v>136</v>
      </c>
      <c r="AH3" s="50">
        <f>M27/Z28</f>
        <v>7.8633887108005496</v>
      </c>
      <c r="AI3" s="161"/>
      <c r="AJ3" s="161"/>
      <c r="AK3" s="50"/>
      <c r="AL3" s="131"/>
      <c r="AM3" s="131"/>
      <c r="AN3" s="132"/>
      <c r="AO3" s="132"/>
      <c r="AP3" s="132"/>
      <c r="AQ3" s="132"/>
      <c r="AR3" s="132"/>
      <c r="AS3" s="130"/>
      <c r="AT3" s="131"/>
      <c r="AU3" s="131"/>
      <c r="AV3" s="130"/>
      <c r="AW3" s="131"/>
      <c r="AX3" s="131"/>
    </row>
    <row r="4" spans="1:50" x14ac:dyDescent="0.3">
      <c r="A4" s="1">
        <v>1</v>
      </c>
      <c r="B4" s="48">
        <v>45322</v>
      </c>
      <c r="C4" s="1">
        <v>0.21840000000000001</v>
      </c>
      <c r="D4" s="1">
        <f>C4/A$16*1000</f>
        <v>8.7360000000000007</v>
      </c>
      <c r="E4" s="1"/>
      <c r="F4" s="1"/>
      <c r="I4" s="67" t="s">
        <v>104</v>
      </c>
      <c r="J4" s="72">
        <v>5.2281824999999991</v>
      </c>
      <c r="L4" s="34" t="s">
        <v>40</v>
      </c>
      <c r="M4" s="50">
        <v>440.53199999999998</v>
      </c>
      <c r="N4" s="170"/>
      <c r="O4" s="175"/>
      <c r="P4" s="8"/>
      <c r="Q4" s="44" t="s">
        <v>60</v>
      </c>
      <c r="R4" s="10">
        <f>D52</f>
        <v>247.17</v>
      </c>
      <c r="S4" s="173"/>
      <c r="T4" s="179"/>
      <c r="Y4" s="44" t="s">
        <v>77</v>
      </c>
      <c r="Z4" s="80">
        <f>C49+F51*(D49/1000)</f>
        <v>59.496076190476188</v>
      </c>
      <c r="AA4" s="173"/>
      <c r="AB4" s="179"/>
      <c r="AC4" s="10">
        <f>D51+F51</f>
        <v>856</v>
      </c>
      <c r="AD4" s="173"/>
      <c r="AE4" s="179"/>
      <c r="AG4" s="87" t="s">
        <v>137</v>
      </c>
      <c r="AH4" s="51">
        <f>M28/Z29</f>
        <v>7.9839018984519656</v>
      </c>
      <c r="AI4" s="162"/>
      <c r="AJ4" s="162"/>
      <c r="AK4" s="50"/>
      <c r="AL4" s="131"/>
      <c r="AM4" s="131"/>
      <c r="AN4" s="132"/>
      <c r="AO4" s="132"/>
      <c r="AP4" s="132"/>
      <c r="AQ4" s="132"/>
      <c r="AR4" s="132"/>
      <c r="AS4" s="130"/>
      <c r="AT4" s="131"/>
      <c r="AU4" s="131"/>
      <c r="AV4" s="130"/>
      <c r="AW4" s="131"/>
      <c r="AX4" s="131"/>
    </row>
    <row r="5" spans="1:50" x14ac:dyDescent="0.3">
      <c r="A5" s="1">
        <v>2</v>
      </c>
      <c r="B5" s="48">
        <v>45323</v>
      </c>
      <c r="C5" s="1">
        <v>0.2732</v>
      </c>
      <c r="D5" s="1">
        <f t="shared" ref="D5:D12" si="0">C5/A$16*1000</f>
        <v>10.928000000000001</v>
      </c>
      <c r="E5" s="1"/>
      <c r="F5" s="1"/>
      <c r="I5" s="66" t="s">
        <v>30</v>
      </c>
      <c r="J5" s="68">
        <v>440.53</v>
      </c>
      <c r="L5" s="36" t="s">
        <v>41</v>
      </c>
      <c r="M5" s="49">
        <f>J5</f>
        <v>440.53</v>
      </c>
      <c r="N5" s="169">
        <f>AVERAGE(M5:M7)</f>
        <v>440.53</v>
      </c>
      <c r="O5" s="174">
        <f>_xlfn.STDEV.P(M5:M7)</f>
        <v>0</v>
      </c>
      <c r="P5" s="8"/>
    </row>
    <row r="6" spans="1:50" x14ac:dyDescent="0.3">
      <c r="A6" s="1">
        <v>3</v>
      </c>
      <c r="B6" s="48">
        <v>45324</v>
      </c>
      <c r="C6" s="1">
        <v>0.43519999999999998</v>
      </c>
      <c r="D6" s="1">
        <f t="shared" si="0"/>
        <v>17.408000000000001</v>
      </c>
      <c r="E6" s="1"/>
      <c r="F6" s="1"/>
      <c r="I6" s="66" t="s">
        <v>31</v>
      </c>
      <c r="J6" s="68">
        <v>29.16</v>
      </c>
      <c r="L6" s="34" t="s">
        <v>42</v>
      </c>
      <c r="M6" s="50">
        <f>J23</f>
        <v>440.53</v>
      </c>
      <c r="N6" s="170"/>
      <c r="O6" s="175"/>
      <c r="R6" t="s">
        <v>14</v>
      </c>
      <c r="S6" t="s">
        <v>36</v>
      </c>
      <c r="T6" t="s">
        <v>7</v>
      </c>
      <c r="U6" t="s">
        <v>15</v>
      </c>
      <c r="V6" t="s">
        <v>36</v>
      </c>
      <c r="W6" t="s">
        <v>7</v>
      </c>
      <c r="Z6" t="s">
        <v>14</v>
      </c>
      <c r="AA6" t="s">
        <v>36</v>
      </c>
      <c r="AB6" t="s">
        <v>7</v>
      </c>
      <c r="AC6" t="s">
        <v>15</v>
      </c>
      <c r="AD6" t="s">
        <v>36</v>
      </c>
      <c r="AE6" t="s">
        <v>7</v>
      </c>
      <c r="AG6" s="88"/>
      <c r="AH6" s="88" t="s">
        <v>123</v>
      </c>
      <c r="AI6" s="88" t="s">
        <v>36</v>
      </c>
      <c r="AJ6" s="88" t="s">
        <v>7</v>
      </c>
      <c r="AK6" s="21"/>
      <c r="AL6" s="21"/>
      <c r="AM6" s="21"/>
      <c r="AN6" s="21"/>
    </row>
    <row r="7" spans="1:50" x14ac:dyDescent="0.3">
      <c r="A7" s="1">
        <v>4</v>
      </c>
      <c r="B7" s="48">
        <v>45325</v>
      </c>
      <c r="C7" s="1">
        <v>0.36870000000000003</v>
      </c>
      <c r="D7" s="1">
        <f t="shared" si="0"/>
        <v>14.748000000000001</v>
      </c>
      <c r="E7" s="1"/>
      <c r="F7" s="1"/>
      <c r="I7" s="73" t="s">
        <v>105</v>
      </c>
      <c r="J7" s="69">
        <v>5.2260999999999997</v>
      </c>
      <c r="L7" s="35" t="s">
        <v>43</v>
      </c>
      <c r="M7" s="51">
        <f>J41</f>
        <v>440.53</v>
      </c>
      <c r="N7" s="180"/>
      <c r="O7" s="176"/>
      <c r="Q7" s="45" t="s">
        <v>62</v>
      </c>
      <c r="R7" s="32">
        <v>66.959999999999994</v>
      </c>
      <c r="S7" s="171">
        <f>AVERAGE(R7:R9)</f>
        <v>67.720000000000013</v>
      </c>
      <c r="T7" s="171">
        <f>_xlfn.STDEV.P(R7:R9)</f>
        <v>0.74390859653589569</v>
      </c>
      <c r="U7" s="32">
        <f>100-R7</f>
        <v>33.040000000000006</v>
      </c>
      <c r="V7" s="171">
        <f>AVERAGE(U7:U9)</f>
        <v>32.28</v>
      </c>
      <c r="W7" s="177">
        <f>_xlfn.STDEV.P(U7:U9)</f>
        <v>0.74390859653589569</v>
      </c>
      <c r="Y7" s="45" t="s">
        <v>78</v>
      </c>
      <c r="Z7" s="32">
        <v>70.59</v>
      </c>
      <c r="AA7" s="171">
        <f>AVERAGE(Z7:Z9)</f>
        <v>70.160000000000011</v>
      </c>
      <c r="AB7" s="171">
        <f>_xlfn.STDEV.P(Z7:Z9)</f>
        <v>0.40898247721224917</v>
      </c>
      <c r="AC7" s="32">
        <f>100-Z7</f>
        <v>29.409999999999997</v>
      </c>
      <c r="AD7" s="171">
        <f>AVERAGE(AC7:AC9)</f>
        <v>29.84</v>
      </c>
      <c r="AE7" s="177">
        <f>_xlfn.STDEV.P(AC7:AC9)</f>
        <v>0.40898247721224917</v>
      </c>
      <c r="AG7" s="90" t="s">
        <v>138</v>
      </c>
      <c r="AH7" s="91">
        <f>AC2/M23*100</f>
        <v>92.083462492744744</v>
      </c>
      <c r="AI7" s="166">
        <f>AVERAGE(AH7:AH9)</f>
        <v>91.483227954170729</v>
      </c>
      <c r="AJ7" s="163">
        <f>_xlfn.STDEV.P(AH7:AH9)</f>
        <v>7.3393131174771806</v>
      </c>
      <c r="AK7" s="81"/>
      <c r="AL7" s="21"/>
      <c r="AM7" s="81"/>
      <c r="AN7" s="81"/>
    </row>
    <row r="8" spans="1:50" x14ac:dyDescent="0.3">
      <c r="A8" s="1">
        <v>5</v>
      </c>
      <c r="B8" s="48">
        <v>45326</v>
      </c>
      <c r="C8" s="1">
        <v>0.53339999999999999</v>
      </c>
      <c r="D8" s="1">
        <f t="shared" si="0"/>
        <v>21.336000000000002</v>
      </c>
      <c r="E8" s="1"/>
      <c r="F8" s="1"/>
      <c r="L8" s="36" t="s">
        <v>51</v>
      </c>
      <c r="M8" s="49">
        <v>29.16</v>
      </c>
      <c r="N8" s="171">
        <f>AVERAGE(M8:M10)</f>
        <v>29.16</v>
      </c>
      <c r="O8" s="177">
        <f>_xlfn.STDEV.P(M8:M10)</f>
        <v>0</v>
      </c>
      <c r="Q8" s="46" t="s">
        <v>63</v>
      </c>
      <c r="R8" s="21">
        <v>67.47</v>
      </c>
      <c r="S8" s="172"/>
      <c r="T8" s="172"/>
      <c r="U8" s="21">
        <f t="shared" ref="U8:U15" si="1">100-R8</f>
        <v>32.53</v>
      </c>
      <c r="V8" s="172"/>
      <c r="W8" s="178"/>
      <c r="Y8" s="46" t="s">
        <v>79</v>
      </c>
      <c r="Z8" s="21">
        <v>70.28</v>
      </c>
      <c r="AA8" s="172"/>
      <c r="AB8" s="172"/>
      <c r="AC8" s="21">
        <f t="shared" ref="AC8:AC15" si="2">100-Z8</f>
        <v>29.72</v>
      </c>
      <c r="AD8" s="172"/>
      <c r="AE8" s="178"/>
      <c r="AG8" s="92" t="s">
        <v>139</v>
      </c>
      <c r="AH8" s="93">
        <f t="shared" ref="AH8:AH9" si="3">AC3/M24*100</f>
        <v>82.209367629247126</v>
      </c>
      <c r="AI8" s="167"/>
      <c r="AJ8" s="164"/>
      <c r="AK8" s="81"/>
      <c r="AL8" s="21"/>
      <c r="AM8" s="81"/>
      <c r="AN8" s="81"/>
    </row>
    <row r="9" spans="1:50" x14ac:dyDescent="0.3">
      <c r="A9" s="1">
        <v>6</v>
      </c>
      <c r="B9" s="48">
        <v>45327</v>
      </c>
      <c r="C9" s="1">
        <v>1.2898000000000001</v>
      </c>
      <c r="D9" s="1">
        <f t="shared" si="0"/>
        <v>51.591999999999999</v>
      </c>
      <c r="E9" s="1"/>
      <c r="F9" s="1"/>
      <c r="I9" s="74" t="s">
        <v>121</v>
      </c>
      <c r="J9" s="74">
        <v>0.15</v>
      </c>
      <c r="L9" s="34" t="s">
        <v>52</v>
      </c>
      <c r="M9" s="50">
        <v>29.16</v>
      </c>
      <c r="N9" s="172"/>
      <c r="O9" s="178"/>
      <c r="Q9" s="47" t="s">
        <v>64</v>
      </c>
      <c r="R9" s="10">
        <v>68.73</v>
      </c>
      <c r="S9" s="173"/>
      <c r="T9" s="173"/>
      <c r="U9" s="10">
        <f t="shared" si="1"/>
        <v>31.269999999999996</v>
      </c>
      <c r="V9" s="173"/>
      <c r="W9" s="179"/>
      <c r="Y9" s="47" t="s">
        <v>80</v>
      </c>
      <c r="Z9" s="10">
        <v>69.61</v>
      </c>
      <c r="AA9" s="173"/>
      <c r="AB9" s="173"/>
      <c r="AC9" s="10">
        <f t="shared" si="2"/>
        <v>30.39</v>
      </c>
      <c r="AD9" s="173"/>
      <c r="AE9" s="179"/>
      <c r="AG9" s="94" t="s">
        <v>140</v>
      </c>
      <c r="AH9" s="95">
        <f t="shared" si="3"/>
        <v>100.15685374052032</v>
      </c>
      <c r="AI9" s="168"/>
      <c r="AJ9" s="165"/>
      <c r="AK9" s="81"/>
      <c r="AL9" s="21"/>
      <c r="AM9" s="81"/>
      <c r="AN9" s="81"/>
    </row>
    <row r="10" spans="1:50" x14ac:dyDescent="0.3">
      <c r="A10" s="1">
        <v>7</v>
      </c>
      <c r="B10" s="48">
        <v>45328</v>
      </c>
      <c r="C10" s="1">
        <v>1.4467000000000001</v>
      </c>
      <c r="D10" s="1">
        <f t="shared" si="0"/>
        <v>57.868000000000002</v>
      </c>
      <c r="E10" s="1"/>
      <c r="F10" s="1"/>
      <c r="L10" s="35" t="s">
        <v>53</v>
      </c>
      <c r="M10" s="51">
        <v>29.16</v>
      </c>
      <c r="N10" s="173"/>
      <c r="O10" s="179"/>
      <c r="Q10" s="45" t="s">
        <v>65</v>
      </c>
      <c r="R10" s="32">
        <v>66.959999999999994</v>
      </c>
      <c r="S10" s="171">
        <f>AVERAGE(R10:R12)</f>
        <v>67.663333333333341</v>
      </c>
      <c r="T10" s="171">
        <f>_xlfn.STDEV.P(R10:R12)</f>
        <v>0.51318179581465961</v>
      </c>
      <c r="U10" s="32">
        <f t="shared" si="1"/>
        <v>33.040000000000006</v>
      </c>
      <c r="V10" s="171">
        <f>AVERAGE(U10:U12)</f>
        <v>32.336666666666666</v>
      </c>
      <c r="W10" s="177">
        <f>_xlfn.STDEV.P(U10:U12)</f>
        <v>0.51318179581465961</v>
      </c>
      <c r="Y10" s="45" t="s">
        <v>81</v>
      </c>
      <c r="Z10" s="32">
        <v>69.09</v>
      </c>
      <c r="AA10" s="171">
        <f>AVERAGE(Z10:Z12)</f>
        <v>69.143333333333331</v>
      </c>
      <c r="AB10" s="171">
        <f>_xlfn.STDEV.P(Z10:Z12)</f>
        <v>1.1437171367470569</v>
      </c>
      <c r="AC10" s="32">
        <f t="shared" si="2"/>
        <v>30.909999999999997</v>
      </c>
      <c r="AD10" s="171">
        <f>AVERAGE(AC10:AC12)</f>
        <v>30.856666666666669</v>
      </c>
      <c r="AE10" s="177">
        <f>_xlfn.STDEV.P(AC10:AC12)</f>
        <v>1.1437171367470569</v>
      </c>
      <c r="AG10" s="21"/>
      <c r="AH10" s="21"/>
      <c r="AI10" s="21"/>
      <c r="AJ10" s="21"/>
      <c r="AK10" s="21"/>
      <c r="AL10" s="21"/>
      <c r="AM10" s="21"/>
      <c r="AN10" s="21"/>
    </row>
    <row r="11" spans="1:50" x14ac:dyDescent="0.3">
      <c r="A11" s="1">
        <v>8</v>
      </c>
      <c r="B11" s="48">
        <v>45329</v>
      </c>
      <c r="C11" s="1">
        <v>1.7811999999999999</v>
      </c>
      <c r="D11" s="1">
        <f t="shared" si="0"/>
        <v>71.24799999999999</v>
      </c>
      <c r="E11" s="1"/>
      <c r="F11" s="1"/>
      <c r="L11" s="36" t="s">
        <v>54</v>
      </c>
      <c r="M11" s="49">
        <f>J6</f>
        <v>29.16</v>
      </c>
      <c r="N11" s="171">
        <f>AVERAGE(M11:M13)</f>
        <v>29.16</v>
      </c>
      <c r="O11" s="177">
        <f>_xlfn.STDEV.P(M11:M13)</f>
        <v>0</v>
      </c>
      <c r="Q11" s="46" t="s">
        <v>66</v>
      </c>
      <c r="R11" s="21">
        <v>67.86</v>
      </c>
      <c r="S11" s="172"/>
      <c r="T11" s="172"/>
      <c r="U11" s="21">
        <f t="shared" si="1"/>
        <v>32.14</v>
      </c>
      <c r="V11" s="172"/>
      <c r="W11" s="178"/>
      <c r="Y11" s="46" t="s">
        <v>82</v>
      </c>
      <c r="Z11" s="21">
        <v>67.77</v>
      </c>
      <c r="AA11" s="172"/>
      <c r="AB11" s="172"/>
      <c r="AC11" s="21">
        <f t="shared" si="2"/>
        <v>32.230000000000004</v>
      </c>
      <c r="AD11" s="172"/>
      <c r="AE11" s="178"/>
      <c r="AH11" s="88" t="s">
        <v>141</v>
      </c>
      <c r="AI11" s="88" t="s">
        <v>36</v>
      </c>
      <c r="AJ11" s="88" t="s">
        <v>7</v>
      </c>
      <c r="AK11" s="21"/>
      <c r="AL11" s="21"/>
      <c r="AM11" s="21"/>
      <c r="AN11" s="21"/>
    </row>
    <row r="12" spans="1:50" x14ac:dyDescent="0.3">
      <c r="A12" s="1">
        <v>9</v>
      </c>
      <c r="B12" s="48">
        <v>45330</v>
      </c>
      <c r="C12" s="1">
        <v>2.2134</v>
      </c>
      <c r="D12" s="1">
        <f t="shared" si="0"/>
        <v>88.536000000000001</v>
      </c>
      <c r="E12" s="1"/>
      <c r="F12" s="1"/>
      <c r="L12" s="34" t="s">
        <v>55</v>
      </c>
      <c r="M12" s="56">
        <f>J24</f>
        <v>29.16</v>
      </c>
      <c r="N12" s="172"/>
      <c r="O12" s="178"/>
      <c r="Q12" s="47" t="s">
        <v>67</v>
      </c>
      <c r="R12" s="10">
        <v>68.17</v>
      </c>
      <c r="S12" s="173"/>
      <c r="T12" s="173"/>
      <c r="U12" s="10">
        <f t="shared" si="1"/>
        <v>31.83</v>
      </c>
      <c r="V12" s="173"/>
      <c r="W12" s="179"/>
      <c r="Y12" s="47" t="s">
        <v>83</v>
      </c>
      <c r="Z12" s="10">
        <v>70.569999999999993</v>
      </c>
      <c r="AA12" s="173"/>
      <c r="AB12" s="173"/>
      <c r="AC12" s="10">
        <f t="shared" si="2"/>
        <v>29.430000000000007</v>
      </c>
      <c r="AD12" s="173"/>
      <c r="AE12" s="179"/>
      <c r="AG12" s="90" t="s">
        <v>142</v>
      </c>
      <c r="AH12" s="91">
        <f>(M26-R18)/M26*100</f>
        <v>39.129646035001528</v>
      </c>
      <c r="AI12" s="166">
        <f>AVERAGE(AH12:AH14)</f>
        <v>43.225228769600882</v>
      </c>
      <c r="AJ12" s="163">
        <f>_xlfn.STDEV.P(AH12:AH14)</f>
        <v>4.5615075535256659</v>
      </c>
      <c r="AK12" s="129"/>
    </row>
    <row r="13" spans="1:50" x14ac:dyDescent="0.3">
      <c r="A13" s="1">
        <v>10</v>
      </c>
      <c r="B13" s="48">
        <v>45331</v>
      </c>
      <c r="C13" s="1">
        <v>54.157299999999999</v>
      </c>
      <c r="D13" s="1">
        <f>C13/D15*1000</f>
        <v>68.902417302798995</v>
      </c>
      <c r="E13" s="1"/>
      <c r="F13" s="1"/>
      <c r="L13" s="35" t="s">
        <v>56</v>
      </c>
      <c r="M13" s="51">
        <f>J42</f>
        <v>29.16</v>
      </c>
      <c r="N13" s="173"/>
      <c r="O13" s="179"/>
      <c r="Q13" s="45" t="s">
        <v>68</v>
      </c>
      <c r="R13" s="32">
        <v>74.73</v>
      </c>
      <c r="S13" s="171">
        <f>AVERAGE(R13:R15)</f>
        <v>73.843333333333348</v>
      </c>
      <c r="T13" s="171">
        <f>_xlfn.STDEV.P(R13:R15)</f>
        <v>0.83207905607313171</v>
      </c>
      <c r="U13" s="32">
        <f t="shared" si="1"/>
        <v>25.269999999999996</v>
      </c>
      <c r="V13" s="171">
        <f>AVERAGE(U13:U15)</f>
        <v>26.156666666666666</v>
      </c>
      <c r="W13" s="177">
        <f>_xlfn.STDEV.P(U13:U15)</f>
        <v>0.83207905607313171</v>
      </c>
      <c r="Y13" s="45" t="s">
        <v>84</v>
      </c>
      <c r="Z13" s="32">
        <v>70.819999999999993</v>
      </c>
      <c r="AA13" s="171">
        <f>AVERAGE(Z13:Z15)</f>
        <v>70.983333333333334</v>
      </c>
      <c r="AB13" s="171">
        <f>_xlfn.STDEV.P(Z13:Z15)</f>
        <v>0.17745108872275192</v>
      </c>
      <c r="AC13" s="32">
        <f t="shared" si="2"/>
        <v>29.180000000000007</v>
      </c>
      <c r="AD13" s="171">
        <f>AVERAGE(AC13:AC15)</f>
        <v>29.016666666666666</v>
      </c>
      <c r="AE13" s="177">
        <f>_xlfn.STDEV.P(AC13:AC15)</f>
        <v>0.17745108872275192</v>
      </c>
      <c r="AG13" s="92" t="s">
        <v>143</v>
      </c>
      <c r="AH13" s="93">
        <f t="shared" ref="AH13:AH14" si="4">(M27-R19)/M27*100</f>
        <v>40.956693192686714</v>
      </c>
      <c r="AI13" s="167"/>
      <c r="AJ13" s="164"/>
      <c r="AK13" s="129"/>
    </row>
    <row r="14" spans="1:50" x14ac:dyDescent="0.3">
      <c r="L14" s="36" t="s">
        <v>44</v>
      </c>
      <c r="M14" s="49">
        <f>M5+M11</f>
        <v>469.69</v>
      </c>
      <c r="N14" s="171">
        <f>AVERAGE(M14:M16)</f>
        <v>469.69</v>
      </c>
      <c r="O14" s="177">
        <f>_xlfn.STDEV.P(M14:M16)</f>
        <v>0</v>
      </c>
      <c r="Q14" s="46" t="s">
        <v>69</v>
      </c>
      <c r="R14" s="21">
        <v>74.069999999999993</v>
      </c>
      <c r="S14" s="172"/>
      <c r="T14" s="172"/>
      <c r="U14" s="21">
        <f t="shared" si="1"/>
        <v>25.930000000000007</v>
      </c>
      <c r="V14" s="172"/>
      <c r="W14" s="178"/>
      <c r="Y14" s="46" t="s">
        <v>85</v>
      </c>
      <c r="Z14" s="21">
        <v>70.900000000000006</v>
      </c>
      <c r="AA14" s="172"/>
      <c r="AB14" s="172"/>
      <c r="AC14" s="21">
        <f t="shared" si="2"/>
        <v>29.099999999999994</v>
      </c>
      <c r="AD14" s="172"/>
      <c r="AE14" s="178"/>
      <c r="AG14" s="94" t="s">
        <v>144</v>
      </c>
      <c r="AH14" s="95">
        <f t="shared" si="4"/>
        <v>49.589347081114411</v>
      </c>
      <c r="AI14" s="168"/>
      <c r="AJ14" s="165"/>
      <c r="AK14" s="129"/>
      <c r="AL14" s="89"/>
      <c r="AM14" s="89"/>
    </row>
    <row r="15" spans="1:50" x14ac:dyDescent="0.3">
      <c r="A15" s="53">
        <v>855</v>
      </c>
      <c r="B15" t="s">
        <v>119</v>
      </c>
      <c r="C15" t="s">
        <v>50</v>
      </c>
      <c r="D15" s="41">
        <v>786</v>
      </c>
      <c r="E15" t="s">
        <v>133</v>
      </c>
      <c r="F15">
        <v>1</v>
      </c>
      <c r="L15" s="34" t="s">
        <v>45</v>
      </c>
      <c r="M15" s="50">
        <f>M6+M12</f>
        <v>469.69</v>
      </c>
      <c r="N15" s="172"/>
      <c r="O15" s="178"/>
      <c r="Q15" s="47" t="s">
        <v>70</v>
      </c>
      <c r="R15" s="10">
        <v>72.73</v>
      </c>
      <c r="S15" s="173"/>
      <c r="T15" s="173"/>
      <c r="U15" s="10">
        <f t="shared" si="1"/>
        <v>27.269999999999996</v>
      </c>
      <c r="V15" s="173"/>
      <c r="W15" s="179"/>
      <c r="Y15" s="47" t="s">
        <v>86</v>
      </c>
      <c r="Z15" s="10">
        <v>71.23</v>
      </c>
      <c r="AA15" s="173"/>
      <c r="AB15" s="173"/>
      <c r="AC15" s="10">
        <f t="shared" si="2"/>
        <v>28.769999999999996</v>
      </c>
      <c r="AD15" s="173"/>
      <c r="AE15" s="179"/>
    </row>
    <row r="16" spans="1:50" x14ac:dyDescent="0.3">
      <c r="A16" s="54">
        <v>25</v>
      </c>
      <c r="B16" t="s">
        <v>118</v>
      </c>
      <c r="C16" t="s">
        <v>74</v>
      </c>
      <c r="D16" s="41">
        <v>241.84</v>
      </c>
      <c r="L16" s="35" t="s">
        <v>46</v>
      </c>
      <c r="M16" s="51">
        <f>M7+M13</f>
        <v>469.69</v>
      </c>
      <c r="N16" s="173"/>
      <c r="O16" s="179"/>
      <c r="AH16" s="96" t="s">
        <v>145</v>
      </c>
      <c r="AI16" s="89" t="s">
        <v>36</v>
      </c>
      <c r="AJ16" s="89" t="s">
        <v>7</v>
      </c>
      <c r="AL16" s="89"/>
      <c r="AM16" s="89"/>
    </row>
    <row r="17" spans="1:45" x14ac:dyDescent="0.3">
      <c r="L17" s="33" t="s">
        <v>106</v>
      </c>
      <c r="M17" s="49">
        <v>5.2281825</v>
      </c>
      <c r="N17" s="169">
        <f>AVERAGE(M17:M19)</f>
        <v>5.2281825</v>
      </c>
      <c r="O17" s="174">
        <f>_xlfn.STDEV.P(M17:M19)</f>
        <v>0</v>
      </c>
      <c r="R17" t="s">
        <v>61</v>
      </c>
      <c r="S17" t="s">
        <v>36</v>
      </c>
      <c r="T17" t="s">
        <v>7</v>
      </c>
      <c r="Z17" t="s">
        <v>61</v>
      </c>
      <c r="AA17" t="s">
        <v>36</v>
      </c>
      <c r="AB17" t="s">
        <v>7</v>
      </c>
      <c r="AG17" s="90" t="s">
        <v>182</v>
      </c>
      <c r="AH17" s="32">
        <f>AH12/10</f>
        <v>3.9129646035001526</v>
      </c>
      <c r="AI17" s="154">
        <f>AVERAGE(AH17:AH19)</f>
        <v>4.3225228769600879</v>
      </c>
      <c r="AJ17" s="157">
        <f>_xlfn.STDEV.P(AH17:AH19)</f>
        <v>0.45615075535256988</v>
      </c>
    </row>
    <row r="18" spans="1:45" x14ac:dyDescent="0.3">
      <c r="L18" s="34" t="s">
        <v>107</v>
      </c>
      <c r="M18" s="50">
        <v>5.2281825</v>
      </c>
      <c r="N18" s="170"/>
      <c r="O18" s="175"/>
      <c r="Q18" s="42" t="s">
        <v>71</v>
      </c>
      <c r="R18" s="32">
        <f>R2*(V7/100)</f>
        <v>78.06595200000001</v>
      </c>
      <c r="S18" s="171">
        <f>AVERAGE(R18:R20)</f>
        <v>72.813385777777782</v>
      </c>
      <c r="T18" s="177">
        <f>_xlfn.STDEV.P(R18:R20)</f>
        <v>5.8501126825373122</v>
      </c>
      <c r="Y18" s="42" t="s">
        <v>87</v>
      </c>
      <c r="Z18" s="32">
        <f>Z2*(AD7/100)</f>
        <v>16.181098801323156</v>
      </c>
      <c r="AA18" s="171">
        <f>AVERAGE(Z18:Z20)</f>
        <v>16.985169417112946</v>
      </c>
      <c r="AB18" s="177">
        <f>_xlfn.STDEV.P(Z18:Z20)</f>
        <v>0.57742606810113128</v>
      </c>
      <c r="AC18" s="187" t="s">
        <v>90</v>
      </c>
      <c r="AG18" s="92" t="s">
        <v>183</v>
      </c>
      <c r="AH18" s="21">
        <f t="shared" ref="AH18:AH19" si="5">AH13/10</f>
        <v>4.0956693192686711</v>
      </c>
      <c r="AI18" s="155"/>
      <c r="AJ18" s="158"/>
    </row>
    <row r="19" spans="1:45" x14ac:dyDescent="0.3">
      <c r="A19" s="5" t="s">
        <v>26</v>
      </c>
      <c r="L19" s="34" t="s">
        <v>108</v>
      </c>
      <c r="M19" s="50">
        <v>5.2281825</v>
      </c>
      <c r="N19" s="170"/>
      <c r="O19" s="175"/>
      <c r="Q19" s="43" t="s">
        <v>72</v>
      </c>
      <c r="R19" s="21">
        <f>R3*(V10/100)</f>
        <v>75.722772333333324</v>
      </c>
      <c r="S19" s="172"/>
      <c r="T19" s="178"/>
      <c r="Y19" s="43" t="s">
        <v>88</v>
      </c>
      <c r="Z19" s="21">
        <f>Z3*(AD10/100)</f>
        <v>17.510631342079165</v>
      </c>
      <c r="AA19" s="172"/>
      <c r="AB19" s="178"/>
      <c r="AC19" s="187"/>
      <c r="AG19" s="94" t="s">
        <v>184</v>
      </c>
      <c r="AH19" s="10">
        <f t="shared" si="5"/>
        <v>4.9589347081114408</v>
      </c>
      <c r="AI19" s="156"/>
      <c r="AJ19" s="159"/>
    </row>
    <row r="20" spans="1:45" x14ac:dyDescent="0.3">
      <c r="A20" s="52" t="s">
        <v>22</v>
      </c>
      <c r="B20" s="52" t="s">
        <v>23</v>
      </c>
      <c r="C20" s="52" t="s">
        <v>32</v>
      </c>
      <c r="D20" s="52" t="s">
        <v>33</v>
      </c>
      <c r="E20" s="52" t="s">
        <v>24</v>
      </c>
      <c r="F20" s="52" t="s">
        <v>25</v>
      </c>
      <c r="I20" s="65" t="s">
        <v>28</v>
      </c>
      <c r="J20" s="70">
        <f>M2</f>
        <v>440.53199999999998</v>
      </c>
      <c r="L20" s="36" t="s">
        <v>109</v>
      </c>
      <c r="M20" s="49">
        <f>J7</f>
        <v>5.2260999999999997</v>
      </c>
      <c r="N20" s="169">
        <f>AVERAGE(M20:M22)</f>
        <v>5.2270666666666665</v>
      </c>
      <c r="O20" s="174">
        <f>_xlfn.STDEV.P(M20:M22)</f>
        <v>1.3670731102941554E-3</v>
      </c>
      <c r="Q20" s="44" t="s">
        <v>73</v>
      </c>
      <c r="R20" s="10">
        <f>R4*(V13/100)</f>
        <v>64.651432999999997</v>
      </c>
      <c r="S20" s="173"/>
      <c r="T20" s="179"/>
      <c r="Y20" s="44" t="s">
        <v>89</v>
      </c>
      <c r="Z20" s="10">
        <f>Z4*(AD13/100)</f>
        <v>17.26377810793651</v>
      </c>
      <c r="AA20" s="173"/>
      <c r="AB20" s="179"/>
      <c r="AC20" s="187"/>
    </row>
    <row r="21" spans="1:45" x14ac:dyDescent="0.3">
      <c r="A21" s="1">
        <v>0</v>
      </c>
      <c r="B21" s="48">
        <v>45321</v>
      </c>
      <c r="C21" s="1">
        <v>5.2290000000000001</v>
      </c>
      <c r="D21" s="1">
        <f>C21/A33*1000</f>
        <v>6.1157894736842104</v>
      </c>
      <c r="E21" s="1"/>
      <c r="F21" s="1"/>
      <c r="I21" s="66" t="s">
        <v>29</v>
      </c>
      <c r="J21" s="71">
        <f>M8</f>
        <v>29.16</v>
      </c>
      <c r="L21" s="34" t="s">
        <v>110</v>
      </c>
      <c r="M21" s="50">
        <f>J25</f>
        <v>5.2290000000000001</v>
      </c>
      <c r="N21" s="170"/>
      <c r="O21" s="175"/>
      <c r="Y21" s="42" t="s">
        <v>91</v>
      </c>
      <c r="Z21" s="32">
        <f>M20</f>
        <v>5.2260999999999997</v>
      </c>
      <c r="AA21" s="171">
        <f>AVERAGE(Z21:Z23)</f>
        <v>5.2270666666666665</v>
      </c>
      <c r="AB21" s="177">
        <f>_xlfn.STDEV.P(Z21:Z23)</f>
        <v>1.3670731102941554E-3</v>
      </c>
      <c r="AH21" s="85" t="s">
        <v>172</v>
      </c>
      <c r="AI21" s="89" t="s">
        <v>36</v>
      </c>
      <c r="AJ21" s="89" t="s">
        <v>7</v>
      </c>
    </row>
    <row r="22" spans="1:45" x14ac:dyDescent="0.3">
      <c r="A22" s="1">
        <v>1</v>
      </c>
      <c r="B22" s="48">
        <v>45322</v>
      </c>
      <c r="C22" s="1">
        <v>0.20519999999999999</v>
      </c>
      <c r="D22" s="1">
        <f>C22/A$16*1000</f>
        <v>8.2080000000000002</v>
      </c>
      <c r="E22" s="1"/>
      <c r="F22" s="1"/>
      <c r="I22" s="67" t="s">
        <v>104</v>
      </c>
      <c r="J22" s="72">
        <v>5.2281824999999991</v>
      </c>
      <c r="L22" s="35" t="s">
        <v>111</v>
      </c>
      <c r="M22" s="51">
        <f>J43</f>
        <v>5.2260999999999997</v>
      </c>
      <c r="N22" s="180"/>
      <c r="O22" s="176"/>
      <c r="Y22" s="43" t="s">
        <v>92</v>
      </c>
      <c r="Z22" s="21">
        <f t="shared" ref="Z22:Z23" si="6">M21</f>
        <v>5.2290000000000001</v>
      </c>
      <c r="AA22" s="172"/>
      <c r="AB22" s="178"/>
      <c r="AC22" t="s">
        <v>94</v>
      </c>
      <c r="AD22">
        <v>22.966666666666665</v>
      </c>
      <c r="AG22" s="90" t="s">
        <v>147</v>
      </c>
      <c r="AH22" s="32">
        <f>Z27/(M26-R18)</f>
        <v>0.29852063072997759</v>
      </c>
      <c r="AI22" s="154">
        <f>AVERAGE(AH22:AH24)</f>
        <v>0.28720061513546541</v>
      </c>
      <c r="AJ22" s="157">
        <f>_xlfn.STDEV.P(AH22:AH24)</f>
        <v>2.4965435339471403E-2</v>
      </c>
    </row>
    <row r="23" spans="1:45" x14ac:dyDescent="0.3">
      <c r="A23" s="1">
        <v>2</v>
      </c>
      <c r="B23" s="48">
        <v>45323</v>
      </c>
      <c r="C23" s="1">
        <v>0.27579999999999999</v>
      </c>
      <c r="D23" s="1">
        <f t="shared" ref="D23:D30" si="7">C23/A$16*1000</f>
        <v>11.032</v>
      </c>
      <c r="E23" s="1"/>
      <c r="F23" s="1"/>
      <c r="I23" s="66" t="s">
        <v>30</v>
      </c>
      <c r="J23" s="68">
        <v>440.53</v>
      </c>
      <c r="L23" s="36" t="s">
        <v>124</v>
      </c>
      <c r="M23" s="75">
        <f>M20/'Berechnungen Fütterungsmenge'!$F$21</f>
        <v>854.65943470795071</v>
      </c>
      <c r="N23" s="169">
        <f>AVERAGE(M23:M25)</f>
        <v>854.81752023767365</v>
      </c>
      <c r="O23" s="174">
        <f>_xlfn.STDEV.P(M23:M25)</f>
        <v>0.22356670014895472</v>
      </c>
      <c r="Y23" s="44" t="s">
        <v>93</v>
      </c>
      <c r="Z23" s="10">
        <f t="shared" si="6"/>
        <v>5.2260999999999997</v>
      </c>
      <c r="AA23" s="173"/>
      <c r="AB23" s="179"/>
      <c r="AG23" s="92" t="s">
        <v>148</v>
      </c>
      <c r="AH23" s="21">
        <f t="shared" ref="AH23:AH24" si="8">Z28/(M27-R19)</f>
        <v>0.31050269251415952</v>
      </c>
      <c r="AI23" s="155"/>
      <c r="AJ23" s="158"/>
    </row>
    <row r="24" spans="1:45" x14ac:dyDescent="0.3">
      <c r="A24" s="1">
        <v>3</v>
      </c>
      <c r="B24" s="48">
        <v>45324</v>
      </c>
      <c r="C24" s="1">
        <v>0.41110000000000002</v>
      </c>
      <c r="D24" s="1">
        <f t="shared" si="7"/>
        <v>16.443999999999999</v>
      </c>
      <c r="E24" s="1"/>
      <c r="F24" s="1"/>
      <c r="I24" s="66" t="s">
        <v>31</v>
      </c>
      <c r="J24" s="68">
        <v>29.16</v>
      </c>
      <c r="L24" s="34" t="s">
        <v>125</v>
      </c>
      <c r="M24" s="76">
        <f>M21/'Berechnungen Fütterungsmenge'!$F$21</f>
        <v>855.13369129711919</v>
      </c>
      <c r="N24" s="170"/>
      <c r="O24" s="175"/>
      <c r="Y24" s="42" t="s">
        <v>95</v>
      </c>
      <c r="Z24" s="32">
        <f>Z21*(AD22/100)</f>
        <v>1.2002609666666666</v>
      </c>
      <c r="AA24" s="171">
        <f>AVERAGE(Z24:Z26)</f>
        <v>1.2004829777777779</v>
      </c>
      <c r="AB24" s="177">
        <f>_xlfn.STDEV.P(Z24:Z26)</f>
        <v>3.1397112433092367E-4</v>
      </c>
      <c r="AG24" s="94" t="s">
        <v>149</v>
      </c>
      <c r="AH24" s="10">
        <f t="shared" si="8"/>
        <v>0.25257852216225918</v>
      </c>
      <c r="AI24" s="156"/>
      <c r="AJ24" s="159"/>
    </row>
    <row r="25" spans="1:45" x14ac:dyDescent="0.3">
      <c r="A25" s="1">
        <v>4</v>
      </c>
      <c r="B25" s="48">
        <v>45325</v>
      </c>
      <c r="C25" s="1">
        <v>0.4022</v>
      </c>
      <c r="D25" s="1">
        <f t="shared" si="7"/>
        <v>16.088000000000001</v>
      </c>
      <c r="E25" s="1"/>
      <c r="F25" s="1"/>
      <c r="I25" s="73" t="s">
        <v>105</v>
      </c>
      <c r="J25" s="69">
        <v>5.2290000000000001</v>
      </c>
      <c r="L25" s="35" t="s">
        <v>126</v>
      </c>
      <c r="M25" s="77">
        <f>M22/'Berechnungen Fütterungsmenge'!$F$21</f>
        <v>854.65943470795071</v>
      </c>
      <c r="N25" s="180"/>
      <c r="O25" s="176"/>
      <c r="Y25" s="43" t="s">
        <v>96</v>
      </c>
      <c r="Z25" s="21">
        <f>Z22*(AD22/100)</f>
        <v>1.2009270000000001</v>
      </c>
      <c r="AA25" s="172"/>
      <c r="AB25" s="178"/>
    </row>
    <row r="26" spans="1:45" x14ac:dyDescent="0.3">
      <c r="A26" s="1">
        <v>5</v>
      </c>
      <c r="B26" s="48">
        <v>45326</v>
      </c>
      <c r="C26" s="1">
        <v>0.58179999999999998</v>
      </c>
      <c r="D26" s="1">
        <f t="shared" si="7"/>
        <v>23.272000000000002</v>
      </c>
      <c r="E26" s="1"/>
      <c r="F26" s="1"/>
      <c r="L26" s="36" t="s">
        <v>127</v>
      </c>
      <c r="M26" s="49">
        <f>M5*('Berechnungen Fütterungsmenge'!$F$5/100)+M11*('Berechnungen Fütterungsmenge'!$F$10/100)</f>
        <v>128.24954500000001</v>
      </c>
      <c r="N26" s="171">
        <f>AVERAGE(M26:M28)</f>
        <v>128.24954500000001</v>
      </c>
      <c r="O26" s="177">
        <f>_xlfn.STDEV.P(M26:M28)</f>
        <v>0</v>
      </c>
      <c r="Y26" s="44" t="s">
        <v>97</v>
      </c>
      <c r="Z26" s="10">
        <f>Z23*(AD22/100)</f>
        <v>1.2002609666666666</v>
      </c>
      <c r="AA26" s="173"/>
      <c r="AB26" s="179"/>
      <c r="AH26" s="85" t="s">
        <v>150</v>
      </c>
      <c r="AI26" s="89" t="s">
        <v>36</v>
      </c>
      <c r="AJ26" s="89" t="s">
        <v>7</v>
      </c>
      <c r="AK26" s="130"/>
      <c r="AL26" s="130"/>
      <c r="AM26" s="130"/>
      <c r="AN26" s="130"/>
      <c r="AO26" s="130"/>
      <c r="AP26" s="130"/>
      <c r="AQ26" s="130"/>
      <c r="AR26" s="133"/>
      <c r="AS26" s="133"/>
    </row>
    <row r="27" spans="1:45" ht="14.4" customHeight="1" x14ac:dyDescent="0.3">
      <c r="A27" s="1">
        <v>6</v>
      </c>
      <c r="B27" s="48">
        <v>45327</v>
      </c>
      <c r="C27" s="1">
        <v>1.0963000000000001</v>
      </c>
      <c r="D27" s="1">
        <f t="shared" si="7"/>
        <v>43.852000000000004</v>
      </c>
      <c r="E27" s="1"/>
      <c r="F27" s="1"/>
      <c r="L27" s="34" t="s">
        <v>128</v>
      </c>
      <c r="M27" s="50">
        <f>M6*('Berechnungen Fütterungsmenge'!$F$5/100)+M12*('Berechnungen Fütterungsmenge'!$F$10/100)</f>
        <v>128.24954500000001</v>
      </c>
      <c r="N27" s="172"/>
      <c r="O27" s="178"/>
      <c r="Y27" s="42" t="s">
        <v>98</v>
      </c>
      <c r="Z27" s="32">
        <f>Z18-Z24</f>
        <v>14.980837834656489</v>
      </c>
      <c r="AA27" s="171">
        <f>AVERAGE(Z27:Z29)</f>
        <v>15.784686439335166</v>
      </c>
      <c r="AB27" s="177">
        <f>_xlfn.STDEV.P(Z27:Z29)</f>
        <v>0.57722408640750855</v>
      </c>
      <c r="AG27" s="90" t="s">
        <v>151</v>
      </c>
      <c r="AH27" s="32">
        <f>(Z18-Z24)/10</f>
        <v>1.4980837834656489</v>
      </c>
      <c r="AI27" s="154">
        <f>AVERAGE(AH27:AH29)</f>
        <v>1.5784686439335165</v>
      </c>
      <c r="AJ27" s="154">
        <f>_xlfn.STDEV.P(AH27:AH29)</f>
        <v>5.77224086407509E-2</v>
      </c>
      <c r="AK27" s="132"/>
      <c r="AL27" s="132"/>
      <c r="AM27" s="132"/>
      <c r="AN27" s="132"/>
      <c r="AO27" s="132"/>
      <c r="AP27" s="134"/>
      <c r="AQ27" s="130"/>
      <c r="AR27" s="135"/>
      <c r="AS27" s="135"/>
    </row>
    <row r="28" spans="1:45" x14ac:dyDescent="0.3">
      <c r="A28" s="1">
        <v>7</v>
      </c>
      <c r="B28" s="48">
        <v>45328</v>
      </c>
      <c r="C28" s="1">
        <v>1.6533</v>
      </c>
      <c r="D28" s="1">
        <f t="shared" si="7"/>
        <v>66.131999999999991</v>
      </c>
      <c r="E28" s="1"/>
      <c r="F28" s="1"/>
      <c r="L28" s="35" t="s">
        <v>129</v>
      </c>
      <c r="M28" s="51">
        <f>M7*('Berechnungen Fütterungsmenge'!$F$5/100)+M13*('Berechnungen Fütterungsmenge'!$F$10/100)</f>
        <v>128.24954500000001</v>
      </c>
      <c r="N28" s="173"/>
      <c r="O28" s="179"/>
      <c r="Y28" s="43" t="s">
        <v>99</v>
      </c>
      <c r="Z28" s="21">
        <f>Z19-Z25</f>
        <v>16.309704342079165</v>
      </c>
      <c r="AA28" s="172"/>
      <c r="AB28" s="178"/>
      <c r="AG28" s="92" t="s">
        <v>152</v>
      </c>
      <c r="AH28" s="21">
        <f t="shared" ref="AH28:AH29" si="9">(Z19-Z25)/10</f>
        <v>1.6309704342079165</v>
      </c>
      <c r="AI28" s="155"/>
      <c r="AJ28" s="155"/>
      <c r="AK28" s="132"/>
      <c r="AL28" s="132"/>
      <c r="AM28" s="132"/>
      <c r="AN28" s="132"/>
      <c r="AO28" s="132"/>
      <c r="AP28" s="134"/>
      <c r="AQ28" s="130"/>
      <c r="AR28" s="135"/>
      <c r="AS28" s="135"/>
    </row>
    <row r="29" spans="1:45" x14ac:dyDescent="0.3">
      <c r="A29" s="1">
        <v>8</v>
      </c>
      <c r="B29" s="48">
        <v>45329</v>
      </c>
      <c r="C29" s="1">
        <v>1.3963000000000001</v>
      </c>
      <c r="D29" s="1">
        <f t="shared" si="7"/>
        <v>55.852000000000004</v>
      </c>
      <c r="E29" s="1"/>
      <c r="F29" s="1"/>
      <c r="Y29" s="44" t="s">
        <v>100</v>
      </c>
      <c r="Z29" s="10">
        <f>Z20-Z26</f>
        <v>16.063517141269845</v>
      </c>
      <c r="AA29" s="173"/>
      <c r="AB29" s="179"/>
      <c r="AG29" s="94" t="s">
        <v>153</v>
      </c>
      <c r="AH29" s="10">
        <f t="shared" si="9"/>
        <v>1.6063517141269845</v>
      </c>
      <c r="AI29" s="156"/>
      <c r="AJ29" s="156"/>
      <c r="AK29" s="132"/>
      <c r="AL29" s="132"/>
      <c r="AM29" s="132"/>
      <c r="AN29" s="132"/>
      <c r="AO29" s="132"/>
      <c r="AP29" s="134"/>
      <c r="AQ29" s="130"/>
      <c r="AR29" s="135"/>
      <c r="AS29" s="135"/>
    </row>
    <row r="30" spans="1:45" x14ac:dyDescent="0.3">
      <c r="A30" s="1">
        <v>9</v>
      </c>
      <c r="B30" s="48">
        <v>45330</v>
      </c>
      <c r="C30" s="1">
        <v>1.7423999999999999</v>
      </c>
      <c r="D30" s="1">
        <f t="shared" si="7"/>
        <v>69.695999999999998</v>
      </c>
      <c r="E30" s="1"/>
      <c r="F30" s="1"/>
    </row>
    <row r="31" spans="1:45" ht="43.2" x14ac:dyDescent="0.3">
      <c r="A31" s="1">
        <v>10</v>
      </c>
      <c r="B31" s="48">
        <v>45331</v>
      </c>
      <c r="C31" s="1">
        <v>56.425400000000003</v>
      </c>
      <c r="D31" s="1">
        <f>C31/D33*1000</f>
        <v>80.723032904148781</v>
      </c>
      <c r="E31" s="1"/>
      <c r="F31" s="1"/>
      <c r="AC31" s="85"/>
      <c r="AD31" s="102" t="s">
        <v>131</v>
      </c>
      <c r="AG31" s="99"/>
      <c r="AH31" s="120" t="s">
        <v>185</v>
      </c>
      <c r="AI31" s="89" t="s">
        <v>36</v>
      </c>
      <c r="AJ31" s="89" t="s">
        <v>7</v>
      </c>
      <c r="AL31" s="136"/>
    </row>
    <row r="32" spans="1:45" ht="14.4" customHeight="1" x14ac:dyDescent="0.3">
      <c r="AC32" s="186" t="s">
        <v>154</v>
      </c>
      <c r="AD32" s="182">
        <f>Z2/AC2</f>
        <v>6.8902417302798988E-2</v>
      </c>
      <c r="AG32" s="126" t="s">
        <v>186</v>
      </c>
      <c r="AH32" s="32">
        <f>Z27</f>
        <v>14.980837834656489</v>
      </c>
      <c r="AI32" s="154">
        <f>AVERAGE(AH32:AH34)</f>
        <v>15.784686439335166</v>
      </c>
      <c r="AJ32" s="157">
        <f>_xlfn.STDEV.P(AH32:AH34)</f>
        <v>0.57722408640750855</v>
      </c>
      <c r="AL32" s="137"/>
    </row>
    <row r="33" spans="1:38" x14ac:dyDescent="0.3">
      <c r="A33" s="53">
        <v>855</v>
      </c>
      <c r="B33" t="s">
        <v>119</v>
      </c>
      <c r="C33" t="s">
        <v>50</v>
      </c>
      <c r="D33" s="41">
        <v>699</v>
      </c>
      <c r="E33" t="s">
        <v>132</v>
      </c>
      <c r="F33">
        <v>4</v>
      </c>
      <c r="AC33" s="181"/>
      <c r="AD33" s="183"/>
      <c r="AG33" s="127" t="s">
        <v>187</v>
      </c>
      <c r="AH33" s="21">
        <f t="shared" ref="AH33:AH34" si="10">Z28</f>
        <v>16.309704342079165</v>
      </c>
      <c r="AI33" s="155"/>
      <c r="AJ33" s="158"/>
      <c r="AL33" s="137"/>
    </row>
    <row r="34" spans="1:38" x14ac:dyDescent="0.3">
      <c r="A34" s="54">
        <v>25</v>
      </c>
      <c r="B34" t="s">
        <v>118</v>
      </c>
      <c r="C34" t="s">
        <v>74</v>
      </c>
      <c r="D34" s="41">
        <v>234.17</v>
      </c>
      <c r="AC34" s="181"/>
      <c r="AD34" s="184"/>
      <c r="AG34" s="128" t="s">
        <v>188</v>
      </c>
      <c r="AH34" s="10">
        <f t="shared" si="10"/>
        <v>16.063517141269845</v>
      </c>
      <c r="AI34" s="156"/>
      <c r="AJ34" s="159"/>
      <c r="AL34" s="137"/>
    </row>
    <row r="35" spans="1:38" ht="14.4" customHeight="1" x14ac:dyDescent="0.3">
      <c r="AC35" s="181" t="s">
        <v>155</v>
      </c>
      <c r="AD35" s="182">
        <f>Z3/AC3</f>
        <v>8.0723032904148798E-2</v>
      </c>
      <c r="AL35" s="138"/>
    </row>
    <row r="36" spans="1:38" x14ac:dyDescent="0.3">
      <c r="AC36" s="181"/>
      <c r="AD36" s="183"/>
      <c r="AG36" s="99"/>
      <c r="AH36" s="120" t="s">
        <v>189</v>
      </c>
      <c r="AI36" s="89" t="s">
        <v>36</v>
      </c>
      <c r="AJ36" s="89" t="s">
        <v>7</v>
      </c>
      <c r="AL36" s="138"/>
    </row>
    <row r="37" spans="1:38" x14ac:dyDescent="0.3">
      <c r="A37" s="5" t="s">
        <v>27</v>
      </c>
      <c r="AC37" s="181"/>
      <c r="AD37" s="184"/>
      <c r="AG37" s="126" t="s">
        <v>190</v>
      </c>
      <c r="AH37" s="32">
        <f>Z18*1000/AC2</f>
        <v>20.560481323155219</v>
      </c>
      <c r="AI37" s="154">
        <f>AVERAGE(AH37:AH39)</f>
        <v>21.878961196325715</v>
      </c>
      <c r="AJ37" s="157">
        <f>_xlfn.STDEV.P(AH37:AH39)</f>
        <v>2.1481481686164861</v>
      </c>
      <c r="AL37" s="138"/>
    </row>
    <row r="38" spans="1:38" ht="14.4" customHeight="1" x14ac:dyDescent="0.3">
      <c r="A38" s="52" t="s">
        <v>22</v>
      </c>
      <c r="B38" s="52" t="s">
        <v>23</v>
      </c>
      <c r="C38" s="52" t="s">
        <v>32</v>
      </c>
      <c r="D38" s="52" t="s">
        <v>33</v>
      </c>
      <c r="E38" s="52" t="s">
        <v>24</v>
      </c>
      <c r="F38" s="52" t="s">
        <v>25</v>
      </c>
      <c r="I38" s="65" t="s">
        <v>28</v>
      </c>
      <c r="J38" s="70">
        <f>M2</f>
        <v>440.53199999999998</v>
      </c>
      <c r="AC38" s="181" t="s">
        <v>156</v>
      </c>
      <c r="AD38" s="182">
        <f>Z4/AC4</f>
        <v>6.9504761904761903E-2</v>
      </c>
      <c r="AG38" s="127" t="s">
        <v>191</v>
      </c>
      <c r="AH38" s="21">
        <f t="shared" ref="AH38:AH39" si="11">Z19*1000/AC3</f>
        <v>24.908437186456851</v>
      </c>
      <c r="AI38" s="155"/>
      <c r="AJ38" s="158"/>
      <c r="AL38" s="138"/>
    </row>
    <row r="39" spans="1:38" x14ac:dyDescent="0.3">
      <c r="A39" s="1">
        <v>0</v>
      </c>
      <c r="B39" s="48">
        <v>45321</v>
      </c>
      <c r="C39" s="1">
        <v>5.2260999999999997</v>
      </c>
      <c r="D39" s="1">
        <f>C39/A51*1000</f>
        <v>6.1123976608187132</v>
      </c>
      <c r="E39" s="1"/>
      <c r="F39" s="1"/>
      <c r="I39" s="66" t="s">
        <v>29</v>
      </c>
      <c r="J39" s="71">
        <f>M8</f>
        <v>29.16</v>
      </c>
      <c r="AC39" s="181"/>
      <c r="AD39" s="183"/>
      <c r="AG39" s="128" t="s">
        <v>192</v>
      </c>
      <c r="AH39" s="10">
        <f t="shared" si="11"/>
        <v>20.167965079365079</v>
      </c>
      <c r="AI39" s="156"/>
      <c r="AJ39" s="159"/>
      <c r="AL39" s="138"/>
    </row>
    <row r="40" spans="1:38" x14ac:dyDescent="0.3">
      <c r="A40" s="1">
        <v>1</v>
      </c>
      <c r="B40" s="48">
        <v>45322</v>
      </c>
      <c r="C40" s="1">
        <v>0.18970000000000001</v>
      </c>
      <c r="D40" s="1">
        <f>C40/A$16*1000</f>
        <v>7.5880000000000001</v>
      </c>
      <c r="E40" s="1"/>
      <c r="F40" s="1"/>
      <c r="I40" s="67" t="s">
        <v>104</v>
      </c>
      <c r="J40" s="72">
        <v>5.2281824999999991</v>
      </c>
      <c r="AC40" s="185"/>
      <c r="AD40" s="184"/>
      <c r="AL40" s="138"/>
    </row>
    <row r="41" spans="1:38" x14ac:dyDescent="0.3">
      <c r="A41" s="1">
        <v>2</v>
      </c>
      <c r="B41" s="48">
        <v>45323</v>
      </c>
      <c r="C41" s="1">
        <v>0.2777</v>
      </c>
      <c r="D41" s="1">
        <f t="shared" ref="D41:D48" si="12">C41/A$16*1000</f>
        <v>11.108000000000001</v>
      </c>
      <c r="E41" s="1"/>
      <c r="F41" s="1"/>
      <c r="I41" s="66" t="s">
        <v>30</v>
      </c>
      <c r="J41" s="68">
        <v>440.53</v>
      </c>
      <c r="AG41" s="99"/>
      <c r="AH41" s="120" t="s">
        <v>180</v>
      </c>
      <c r="AI41" s="89" t="s">
        <v>36</v>
      </c>
      <c r="AJ41" s="89" t="s">
        <v>7</v>
      </c>
      <c r="AL41" s="138"/>
    </row>
    <row r="42" spans="1:38" x14ac:dyDescent="0.3">
      <c r="A42" s="1">
        <v>3</v>
      </c>
      <c r="B42" s="48">
        <v>45324</v>
      </c>
      <c r="C42" s="1">
        <v>0.34520000000000001</v>
      </c>
      <c r="D42" s="1">
        <f t="shared" si="12"/>
        <v>13.808000000000002</v>
      </c>
      <c r="E42" s="1"/>
      <c r="F42" s="1"/>
      <c r="I42" s="66" t="s">
        <v>31</v>
      </c>
      <c r="J42" s="68">
        <v>29.16</v>
      </c>
      <c r="AG42" s="126" t="s">
        <v>193</v>
      </c>
      <c r="AH42" s="32">
        <f>AH32*1000/M23</f>
        <v>17.528429718646532</v>
      </c>
      <c r="AI42" s="154">
        <f>AVERAGE(AH42:AH44)</f>
        <v>18.465450308387357</v>
      </c>
      <c r="AJ42" s="157">
        <f>_xlfn.STDEV.P(AH42:AH44)</f>
        <v>0.67218698173284364</v>
      </c>
      <c r="AL42" s="139"/>
    </row>
    <row r="43" spans="1:38" x14ac:dyDescent="0.3">
      <c r="A43" s="1">
        <v>4</v>
      </c>
      <c r="B43" s="48">
        <v>45325</v>
      </c>
      <c r="C43" s="1">
        <v>0.37119999999999997</v>
      </c>
      <c r="D43" s="1">
        <f t="shared" si="12"/>
        <v>14.847999999999999</v>
      </c>
      <c r="E43" s="1"/>
      <c r="F43" s="1"/>
      <c r="I43" s="73" t="s">
        <v>105</v>
      </c>
      <c r="J43" s="69">
        <v>5.2260999999999997</v>
      </c>
      <c r="AG43" s="127" t="s">
        <v>194</v>
      </c>
      <c r="AH43" s="21">
        <f t="shared" ref="AH43:AH44" si="13">AH33*1000/M24</f>
        <v>19.072695308425523</v>
      </c>
      <c r="AI43" s="155"/>
      <c r="AJ43" s="158"/>
      <c r="AL43" s="136"/>
    </row>
    <row r="44" spans="1:38" x14ac:dyDescent="0.3">
      <c r="A44" s="1">
        <v>5</v>
      </c>
      <c r="B44" s="48">
        <v>45326</v>
      </c>
      <c r="C44" s="1">
        <v>0.57110000000000005</v>
      </c>
      <c r="D44" s="1">
        <f t="shared" si="12"/>
        <v>22.844000000000005</v>
      </c>
      <c r="E44" s="1"/>
      <c r="F44" s="1"/>
      <c r="AG44" s="128" t="s">
        <v>195</v>
      </c>
      <c r="AH44" s="10">
        <f t="shared" si="13"/>
        <v>18.795225898090013</v>
      </c>
      <c r="AI44" s="156"/>
      <c r="AJ44" s="159"/>
      <c r="AK44" s="97"/>
      <c r="AL44" s="97"/>
    </row>
    <row r="45" spans="1:38" x14ac:dyDescent="0.3">
      <c r="A45" s="1">
        <v>6</v>
      </c>
      <c r="B45" s="48">
        <v>45327</v>
      </c>
      <c r="C45" s="1">
        <v>1.2917000000000001</v>
      </c>
      <c r="D45" s="1">
        <f t="shared" si="12"/>
        <v>51.668000000000006</v>
      </c>
      <c r="E45" s="1"/>
      <c r="F45" s="1"/>
      <c r="AK45" s="97"/>
      <c r="AL45" s="97"/>
    </row>
    <row r="46" spans="1:38" x14ac:dyDescent="0.3">
      <c r="A46" s="1">
        <v>7</v>
      </c>
      <c r="B46" s="48">
        <v>45328</v>
      </c>
      <c r="C46" s="1">
        <v>2.1682000000000001</v>
      </c>
      <c r="D46" s="1">
        <f t="shared" si="12"/>
        <v>86.727999999999994</v>
      </c>
      <c r="E46" s="1"/>
      <c r="F46" s="1"/>
      <c r="AG46" s="99"/>
      <c r="AH46" s="120" t="s">
        <v>181</v>
      </c>
      <c r="AI46" s="89" t="s">
        <v>36</v>
      </c>
      <c r="AJ46" s="89" t="s">
        <v>7</v>
      </c>
      <c r="AK46" s="97"/>
      <c r="AL46" s="97"/>
    </row>
    <row r="47" spans="1:38" x14ac:dyDescent="0.3">
      <c r="A47" s="1">
        <v>8</v>
      </c>
      <c r="B47" s="48">
        <v>45329</v>
      </c>
      <c r="C47" s="1">
        <v>1.9520999999999999</v>
      </c>
      <c r="D47" s="1">
        <f t="shared" si="12"/>
        <v>78.084000000000003</v>
      </c>
      <c r="E47" s="1"/>
      <c r="F47" s="1"/>
      <c r="AG47" s="126" t="s">
        <v>196</v>
      </c>
      <c r="AH47" s="32">
        <f>AH27*1000/M23</f>
        <v>1.7528429718646532</v>
      </c>
      <c r="AI47" s="154">
        <f>AVERAGE(AH47:AH49)</f>
        <v>1.8465450308387357</v>
      </c>
      <c r="AJ47" s="157">
        <f>_xlfn.STDEV.P(AH47:AH49)</f>
        <v>6.7218698173284297E-2</v>
      </c>
      <c r="AK47" s="98"/>
      <c r="AL47" s="98"/>
    </row>
    <row r="48" spans="1:38" x14ac:dyDescent="0.3">
      <c r="A48" s="1">
        <v>9</v>
      </c>
      <c r="B48" s="48">
        <v>45330</v>
      </c>
      <c r="C48" s="1">
        <v>1.8226</v>
      </c>
      <c r="D48" s="1">
        <f t="shared" si="12"/>
        <v>72.903999999999996</v>
      </c>
      <c r="E48" s="1"/>
      <c r="F48" s="1"/>
      <c r="AG48" s="127" t="s">
        <v>197</v>
      </c>
      <c r="AH48" s="21">
        <f t="shared" ref="AH48:AH49" si="14">AH28*1000/M24</f>
        <v>1.9072695308425522</v>
      </c>
      <c r="AI48" s="155"/>
      <c r="AJ48" s="158"/>
      <c r="AK48" s="98"/>
      <c r="AL48" s="98"/>
    </row>
    <row r="49" spans="1:38" x14ac:dyDescent="0.3">
      <c r="A49" s="1">
        <v>10</v>
      </c>
      <c r="B49" s="48">
        <v>45331</v>
      </c>
      <c r="C49" s="1">
        <v>58.384</v>
      </c>
      <c r="D49" s="1">
        <f>C49/D51*1000</f>
        <v>69.504761904761907</v>
      </c>
      <c r="E49" s="1"/>
      <c r="F49" s="1"/>
      <c r="AG49" s="128" t="s">
        <v>198</v>
      </c>
      <c r="AH49" s="10">
        <f t="shared" si="14"/>
        <v>1.8795225898090011</v>
      </c>
      <c r="AI49" s="156"/>
      <c r="AJ49" s="159"/>
      <c r="AK49" s="98"/>
      <c r="AL49" s="98"/>
    </row>
    <row r="50" spans="1:38" x14ac:dyDescent="0.3">
      <c r="AK50" s="98"/>
      <c r="AL50" s="98"/>
    </row>
    <row r="51" spans="1:38" x14ac:dyDescent="0.3">
      <c r="A51" s="53">
        <v>855</v>
      </c>
      <c r="B51" t="s">
        <v>119</v>
      </c>
      <c r="C51" t="s">
        <v>50</v>
      </c>
      <c r="D51" s="41">
        <v>840</v>
      </c>
      <c r="E51" t="s">
        <v>133</v>
      </c>
      <c r="F51">
        <v>16</v>
      </c>
      <c r="AK51" s="98"/>
      <c r="AL51" s="98"/>
    </row>
    <row r="52" spans="1:38" x14ac:dyDescent="0.3">
      <c r="A52" s="54">
        <v>25</v>
      </c>
      <c r="B52" t="s">
        <v>118</v>
      </c>
      <c r="C52" t="s">
        <v>74</v>
      </c>
      <c r="D52" s="41">
        <v>247.17</v>
      </c>
      <c r="AK52" s="98"/>
      <c r="AL52" s="98"/>
    </row>
    <row r="53" spans="1:38" x14ac:dyDescent="0.3">
      <c r="AK53" s="98"/>
      <c r="AL53" s="98"/>
    </row>
  </sheetData>
  <mergeCells count="85">
    <mergeCell ref="AB21:AB23"/>
    <mergeCell ref="AA13:AA15"/>
    <mergeCell ref="AB13:AB15"/>
    <mergeCell ref="AB18:AB20"/>
    <mergeCell ref="AA7:AA9"/>
    <mergeCell ref="AB7:AB9"/>
    <mergeCell ref="AB24:AB26"/>
    <mergeCell ref="AA27:AA29"/>
    <mergeCell ref="AB27:AB29"/>
    <mergeCell ref="AI27:AI29"/>
    <mergeCell ref="AJ27:AJ29"/>
    <mergeCell ref="N17:N19"/>
    <mergeCell ref="O17:O19"/>
    <mergeCell ref="N20:N22"/>
    <mergeCell ref="O20:O22"/>
    <mergeCell ref="AA24:AA26"/>
    <mergeCell ref="N23:N25"/>
    <mergeCell ref="O23:O25"/>
    <mergeCell ref="N26:N28"/>
    <mergeCell ref="O26:O28"/>
    <mergeCell ref="AA21:AA23"/>
    <mergeCell ref="S18:S20"/>
    <mergeCell ref="T18:T20"/>
    <mergeCell ref="AA18:AA20"/>
    <mergeCell ref="AC35:AC37"/>
    <mergeCell ref="AD35:AD37"/>
    <mergeCell ref="AC38:AC40"/>
    <mergeCell ref="AD38:AD40"/>
    <mergeCell ref="AD13:AD15"/>
    <mergeCell ref="AD32:AD34"/>
    <mergeCell ref="AC18:AC20"/>
    <mergeCell ref="AC32:AC34"/>
    <mergeCell ref="AA10:AA12"/>
    <mergeCell ref="AB10:AB12"/>
    <mergeCell ref="AD10:AD12"/>
    <mergeCell ref="N11:N13"/>
    <mergeCell ref="O11:O13"/>
    <mergeCell ref="S13:S15"/>
    <mergeCell ref="T13:T15"/>
    <mergeCell ref="V13:V15"/>
    <mergeCell ref="W13:W15"/>
    <mergeCell ref="W10:W12"/>
    <mergeCell ref="S7:S9"/>
    <mergeCell ref="T7:T9"/>
    <mergeCell ref="V7:V9"/>
    <mergeCell ref="N14:N16"/>
    <mergeCell ref="O14:O16"/>
    <mergeCell ref="AI32:AI34"/>
    <mergeCell ref="AJ32:AJ34"/>
    <mergeCell ref="AB2:AB4"/>
    <mergeCell ref="N2:N4"/>
    <mergeCell ref="O2:O4"/>
    <mergeCell ref="S2:S4"/>
    <mergeCell ref="T2:T4"/>
    <mergeCell ref="AA2:AA4"/>
    <mergeCell ref="W7:W9"/>
    <mergeCell ref="N8:N10"/>
    <mergeCell ref="O8:O10"/>
    <mergeCell ref="S10:S12"/>
    <mergeCell ref="T10:T12"/>
    <mergeCell ref="V10:V12"/>
    <mergeCell ref="N5:N7"/>
    <mergeCell ref="O5:O7"/>
    <mergeCell ref="AI17:AI19"/>
    <mergeCell ref="AJ17:AJ19"/>
    <mergeCell ref="AI22:AI24"/>
    <mergeCell ref="AJ22:AJ24"/>
    <mergeCell ref="AD7:AD9"/>
    <mergeCell ref="AE7:AE9"/>
    <mergeCell ref="AI7:AI9"/>
    <mergeCell ref="AI12:AI14"/>
    <mergeCell ref="AJ12:AJ14"/>
    <mergeCell ref="AJ7:AJ9"/>
    <mergeCell ref="AD2:AD4"/>
    <mergeCell ref="AE2:AE4"/>
    <mergeCell ref="AI2:AI4"/>
    <mergeCell ref="AJ2:AJ4"/>
    <mergeCell ref="AE13:AE15"/>
    <mergeCell ref="AE10:AE12"/>
    <mergeCell ref="AI37:AI39"/>
    <mergeCell ref="AJ37:AJ39"/>
    <mergeCell ref="AI42:AI44"/>
    <mergeCell ref="AJ42:AJ44"/>
    <mergeCell ref="AI47:AI49"/>
    <mergeCell ref="AJ47:AJ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53"/>
  <sheetViews>
    <sheetView topLeftCell="S1" zoomScale="58" workbookViewId="0">
      <selection activeCell="AN15" sqref="AN15"/>
    </sheetView>
  </sheetViews>
  <sheetFormatPr baseColWidth="10" defaultColWidth="9.21875" defaultRowHeight="14.4" x14ac:dyDescent="0.3"/>
  <cols>
    <col min="2" max="2" width="10.77734375" bestFit="1" customWidth="1"/>
    <col min="3" max="3" width="21.21875" customWidth="1"/>
    <col min="4" max="4" width="25.44140625" customWidth="1"/>
    <col min="5" max="5" width="22.77734375" customWidth="1"/>
    <col min="6" max="6" width="32.21875" customWidth="1"/>
    <col min="7" max="7" width="4.6640625" customWidth="1"/>
    <col min="8" max="8" width="4" customWidth="1"/>
    <col min="9" max="9" width="25.5546875" customWidth="1"/>
    <col min="11" max="11" width="4.77734375" customWidth="1"/>
    <col min="12" max="12" width="22.88671875" customWidth="1"/>
    <col min="13" max="13" width="11.44140625" customWidth="1"/>
    <col min="14" max="14" width="10.88671875" customWidth="1"/>
    <col min="15" max="15" width="10.33203125" customWidth="1"/>
    <col min="16" max="16" width="5.6640625" customWidth="1"/>
    <col min="17" max="17" width="24.6640625" customWidth="1"/>
    <col min="18" max="18" width="15.5546875" bestFit="1" customWidth="1"/>
    <col min="19" max="19" width="9.77734375" bestFit="1" customWidth="1"/>
    <col min="20" max="20" width="7.5546875" bestFit="1" customWidth="1"/>
    <col min="21" max="21" width="18.44140625" bestFit="1" customWidth="1"/>
    <col min="22" max="22" width="9.77734375" bestFit="1" customWidth="1"/>
    <col min="23" max="23" width="7.5546875" bestFit="1" customWidth="1"/>
    <col min="25" max="25" width="35.21875" bestFit="1" customWidth="1"/>
    <col min="26" max="26" width="15.5546875" bestFit="1" customWidth="1"/>
    <col min="27" max="27" width="9.77734375" bestFit="1" customWidth="1"/>
    <col min="28" max="28" width="7.5546875" bestFit="1" customWidth="1"/>
    <col min="29" max="29" width="27.88671875" customWidth="1"/>
    <col min="30" max="30" width="9.77734375" bestFit="1" customWidth="1"/>
    <col min="31" max="31" width="7.5546875" bestFit="1" customWidth="1"/>
    <col min="33" max="33" width="43.109375" style="85" bestFit="1" customWidth="1"/>
    <col min="34" max="36" width="18.77734375" style="85" customWidth="1"/>
    <col min="37" max="37" width="11" style="85" bestFit="1" customWidth="1"/>
    <col min="38" max="38" width="10.109375" style="85" bestFit="1" customWidth="1"/>
    <col min="39" max="39" width="9.33203125" style="85" bestFit="1" customWidth="1"/>
    <col min="40" max="41" width="9.21875" style="85"/>
    <col min="42" max="42" width="36.6640625" style="85" bestFit="1" customWidth="1"/>
    <col min="43" max="43" width="9.33203125" style="85" customWidth="1"/>
    <col min="44" max="44" width="9.21875" style="85"/>
    <col min="45" max="45" width="20.77734375" style="85" customWidth="1"/>
    <col min="46" max="47" width="9.33203125" style="85" bestFit="1" customWidth="1"/>
    <col min="48" max="48" width="14.5546875" style="85" bestFit="1" customWidth="1"/>
    <col min="49" max="50" width="9.33203125" style="85" bestFit="1" customWidth="1"/>
    <col min="51" max="51" width="9.21875" style="85"/>
  </cols>
  <sheetData>
    <row r="1" spans="1:50" x14ac:dyDescent="0.3">
      <c r="A1" s="5" t="s">
        <v>21</v>
      </c>
      <c r="L1" s="11"/>
      <c r="M1" s="11" t="s">
        <v>37</v>
      </c>
      <c r="N1" s="11" t="s">
        <v>36</v>
      </c>
      <c r="O1" s="11" t="s">
        <v>7</v>
      </c>
      <c r="R1" t="s">
        <v>61</v>
      </c>
      <c r="S1" t="s">
        <v>36</v>
      </c>
      <c r="T1" t="s">
        <v>7</v>
      </c>
      <c r="Z1" t="s">
        <v>61</v>
      </c>
      <c r="AA1" t="s">
        <v>36</v>
      </c>
      <c r="AB1" t="s">
        <v>7</v>
      </c>
      <c r="AC1" t="s">
        <v>130</v>
      </c>
      <c r="AD1" t="s">
        <v>36</v>
      </c>
      <c r="AE1" t="s">
        <v>7</v>
      </c>
      <c r="AH1" s="85" t="s">
        <v>134</v>
      </c>
      <c r="AI1" s="85" t="s">
        <v>36</v>
      </c>
      <c r="AJ1" s="85" t="s">
        <v>7</v>
      </c>
      <c r="AK1" s="21"/>
      <c r="AL1" s="21"/>
      <c r="AM1" s="21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</row>
    <row r="2" spans="1:50" ht="14.4" customHeight="1" x14ac:dyDescent="0.3">
      <c r="A2" s="52" t="s">
        <v>22</v>
      </c>
      <c r="B2" s="52" t="s">
        <v>23</v>
      </c>
      <c r="C2" s="52" t="s">
        <v>32</v>
      </c>
      <c r="D2" s="52" t="s">
        <v>33</v>
      </c>
      <c r="E2" s="52" t="s">
        <v>24</v>
      </c>
      <c r="F2" s="52" t="s">
        <v>25</v>
      </c>
      <c r="I2" s="65" t="s">
        <v>28</v>
      </c>
      <c r="J2" s="70">
        <f>M2</f>
        <v>587.37699999999995</v>
      </c>
      <c r="L2" s="33" t="s">
        <v>38</v>
      </c>
      <c r="M2" s="49">
        <v>587.37699999999995</v>
      </c>
      <c r="N2" s="169">
        <f>AVERAGE(M2:M4)</f>
        <v>587.37699999999995</v>
      </c>
      <c r="O2" s="174">
        <f>_xlfn.STDEV.P(M2:M4)</f>
        <v>0</v>
      </c>
      <c r="P2" s="9"/>
      <c r="Q2" s="42" t="s">
        <v>58</v>
      </c>
      <c r="R2" s="32">
        <f>D16</f>
        <v>333.01</v>
      </c>
      <c r="S2" s="171">
        <f>AVERAGE(R2:R4)</f>
        <v>345.81</v>
      </c>
      <c r="T2" s="177">
        <f>_xlfn.STDEV.P(R2:R4)</f>
        <v>13.326675004166143</v>
      </c>
      <c r="Y2" s="42" t="s">
        <v>75</v>
      </c>
      <c r="Z2" s="78">
        <f>C13+F15*(D13/1000)</f>
        <v>68.431488991888756</v>
      </c>
      <c r="AA2" s="171">
        <f>AVERAGE(Z2:Z4)</f>
        <v>61.266945293946968</v>
      </c>
      <c r="AB2" s="177">
        <f>_xlfn.STDEV.P(Z2:Z4)</f>
        <v>5.1867747488081903</v>
      </c>
      <c r="AC2" s="32">
        <f>D15+F15</f>
        <v>875</v>
      </c>
      <c r="AD2" s="171">
        <f>AVERAGE(AC2:AC4)</f>
        <v>827.66666666666663</v>
      </c>
      <c r="AE2" s="177">
        <f>_xlfn.STDEV.P(AC2:AC4)</f>
        <v>45.638677554119475</v>
      </c>
      <c r="AG2" s="84" t="s">
        <v>135</v>
      </c>
      <c r="AH2" s="49">
        <f>M26/Z27</f>
        <v>9.8023713005102948</v>
      </c>
      <c r="AI2" s="160">
        <f>AVERAGE(AH2:AH4)</f>
        <v>10.746697037252984</v>
      </c>
      <c r="AJ2" s="160">
        <f>_xlfn.STDEV.P(AH2:AH4)</f>
        <v>0.6729161830068271</v>
      </c>
      <c r="AK2" s="50"/>
      <c r="AL2" s="131"/>
      <c r="AM2" s="131"/>
      <c r="AN2" s="132"/>
      <c r="AO2" s="132"/>
      <c r="AP2" s="132"/>
      <c r="AQ2" s="132"/>
      <c r="AR2" s="132"/>
      <c r="AS2" s="130"/>
      <c r="AT2" s="131"/>
      <c r="AU2" s="131"/>
      <c r="AV2" s="130"/>
      <c r="AW2" s="131"/>
      <c r="AX2" s="131"/>
    </row>
    <row r="3" spans="1:50" x14ac:dyDescent="0.3">
      <c r="A3" s="1">
        <v>0</v>
      </c>
      <c r="B3" s="48">
        <v>45321</v>
      </c>
      <c r="C3" s="1">
        <v>5.2268999999999997</v>
      </c>
      <c r="D3" s="1">
        <f>C3/A15*1000</f>
        <v>6.1133333333333324</v>
      </c>
      <c r="E3" s="1"/>
      <c r="F3" s="1"/>
      <c r="I3" s="66" t="s">
        <v>29</v>
      </c>
      <c r="J3" s="71">
        <f>M8</f>
        <v>38.880000000000003</v>
      </c>
      <c r="L3" s="34" t="s">
        <v>39</v>
      </c>
      <c r="M3" s="50">
        <v>587.37699999999995</v>
      </c>
      <c r="N3" s="170"/>
      <c r="O3" s="175"/>
      <c r="P3" s="7"/>
      <c r="Q3" s="43" t="s">
        <v>59</v>
      </c>
      <c r="R3" s="21">
        <f>D34</f>
        <v>340.23</v>
      </c>
      <c r="S3" s="172"/>
      <c r="T3" s="178"/>
      <c r="Y3" s="43" t="s">
        <v>76</v>
      </c>
      <c r="Z3" s="79">
        <f>C31+F33*(D31/1000)</f>
        <v>59.046999999999997</v>
      </c>
      <c r="AA3" s="172"/>
      <c r="AB3" s="178"/>
      <c r="AC3" s="21">
        <f>D33+F33</f>
        <v>766</v>
      </c>
      <c r="AD3" s="172"/>
      <c r="AE3" s="178"/>
      <c r="AG3" s="86" t="s">
        <v>136</v>
      </c>
      <c r="AH3" s="50">
        <f>M27/Z28</f>
        <v>11.116825787689441</v>
      </c>
      <c r="AI3" s="161"/>
      <c r="AJ3" s="161"/>
      <c r="AK3" s="50"/>
      <c r="AL3" s="131"/>
      <c r="AM3" s="131"/>
      <c r="AN3" s="132"/>
      <c r="AO3" s="132"/>
      <c r="AP3" s="132"/>
      <c r="AQ3" s="132"/>
      <c r="AR3" s="132"/>
      <c r="AS3" s="130"/>
      <c r="AT3" s="131"/>
      <c r="AU3" s="131"/>
      <c r="AV3" s="130"/>
      <c r="AW3" s="131"/>
      <c r="AX3" s="131"/>
    </row>
    <row r="4" spans="1:50" x14ac:dyDescent="0.3">
      <c r="A4" s="1">
        <v>1</v>
      </c>
      <c r="B4" s="48">
        <v>45322</v>
      </c>
      <c r="C4" s="1">
        <v>0.18010000000000001</v>
      </c>
      <c r="D4" s="1">
        <f>C4/A$16*1000</f>
        <v>7.2040000000000006</v>
      </c>
      <c r="E4" s="1"/>
      <c r="F4" s="1"/>
      <c r="I4" s="67" t="s">
        <v>104</v>
      </c>
      <c r="J4" s="72">
        <v>5.2281824999999991</v>
      </c>
      <c r="L4" s="34" t="s">
        <v>40</v>
      </c>
      <c r="M4" s="50">
        <v>587.37699999999995</v>
      </c>
      <c r="N4" s="170"/>
      <c r="O4" s="175"/>
      <c r="P4" s="8"/>
      <c r="Q4" s="44" t="s">
        <v>60</v>
      </c>
      <c r="R4" s="10">
        <f>D52</f>
        <v>364.19</v>
      </c>
      <c r="S4" s="173"/>
      <c r="T4" s="179"/>
      <c r="Y4" s="44" t="s">
        <v>77</v>
      </c>
      <c r="Z4" s="80">
        <f>C49+F51*(D49/1000)</f>
        <v>56.322346889952151</v>
      </c>
      <c r="AA4" s="173"/>
      <c r="AB4" s="179"/>
      <c r="AC4" s="10">
        <f>D51+F51</f>
        <v>842</v>
      </c>
      <c r="AD4" s="173"/>
      <c r="AE4" s="179"/>
      <c r="AG4" s="87" t="s">
        <v>137</v>
      </c>
      <c r="AH4" s="51">
        <f>M28/Z29</f>
        <v>11.320894023559214</v>
      </c>
      <c r="AI4" s="162"/>
      <c r="AJ4" s="162"/>
      <c r="AK4" s="50"/>
      <c r="AL4" s="131"/>
      <c r="AM4" s="131"/>
      <c r="AN4" s="132"/>
      <c r="AO4" s="132"/>
      <c r="AP4" s="132"/>
      <c r="AQ4" s="132"/>
      <c r="AR4" s="132"/>
      <c r="AS4" s="130"/>
      <c r="AT4" s="131"/>
      <c r="AU4" s="131"/>
      <c r="AV4" s="130"/>
      <c r="AW4" s="131"/>
      <c r="AX4" s="131"/>
    </row>
    <row r="5" spans="1:50" x14ac:dyDescent="0.3">
      <c r="A5" s="1">
        <v>2</v>
      </c>
      <c r="B5" s="48">
        <v>45323</v>
      </c>
      <c r="C5" s="1">
        <v>0.27850000000000003</v>
      </c>
      <c r="D5" s="1">
        <f t="shared" ref="D5:D12" si="0">C5/A$16*1000</f>
        <v>11.14</v>
      </c>
      <c r="E5" s="1"/>
      <c r="F5" s="1"/>
      <c r="I5" s="66" t="s">
        <v>30</v>
      </c>
      <c r="J5" s="68">
        <v>587.38</v>
      </c>
      <c r="L5" s="36" t="s">
        <v>41</v>
      </c>
      <c r="M5" s="49">
        <f>J5</f>
        <v>587.38</v>
      </c>
      <c r="N5" s="169">
        <f>AVERAGE(M5:M7)</f>
        <v>587.38</v>
      </c>
      <c r="O5" s="174">
        <f>_xlfn.STDEV.P(M5:M7)</f>
        <v>0</v>
      </c>
      <c r="P5" s="8"/>
    </row>
    <row r="6" spans="1:50" x14ac:dyDescent="0.3">
      <c r="A6" s="1">
        <v>3</v>
      </c>
      <c r="B6" s="48">
        <v>45324</v>
      </c>
      <c r="C6" s="1">
        <v>0.39450000000000002</v>
      </c>
      <c r="D6" s="1">
        <f t="shared" si="0"/>
        <v>15.780000000000003</v>
      </c>
      <c r="E6" s="1"/>
      <c r="F6" s="1"/>
      <c r="I6" s="66" t="s">
        <v>31</v>
      </c>
      <c r="J6" s="68">
        <v>38.880000000000003</v>
      </c>
      <c r="L6" s="34" t="s">
        <v>42</v>
      </c>
      <c r="M6" s="50">
        <f>J23</f>
        <v>587.38</v>
      </c>
      <c r="N6" s="170"/>
      <c r="O6" s="175"/>
      <c r="R6" t="s">
        <v>14</v>
      </c>
      <c r="S6" t="s">
        <v>36</v>
      </c>
      <c r="T6" t="s">
        <v>7</v>
      </c>
      <c r="U6" t="s">
        <v>15</v>
      </c>
      <c r="V6" t="s">
        <v>36</v>
      </c>
      <c r="W6" t="s">
        <v>7</v>
      </c>
      <c r="Z6" t="s">
        <v>14</v>
      </c>
      <c r="AA6" t="s">
        <v>36</v>
      </c>
      <c r="AB6" t="s">
        <v>7</v>
      </c>
      <c r="AC6" t="s">
        <v>15</v>
      </c>
      <c r="AD6" t="s">
        <v>36</v>
      </c>
      <c r="AE6" t="s">
        <v>7</v>
      </c>
      <c r="AG6" s="88"/>
      <c r="AH6" s="88" t="s">
        <v>123</v>
      </c>
      <c r="AI6" s="88" t="s">
        <v>36</v>
      </c>
      <c r="AJ6" s="88" t="s">
        <v>7</v>
      </c>
      <c r="AK6" s="21"/>
      <c r="AL6" s="21"/>
      <c r="AM6" s="21"/>
      <c r="AN6" s="21"/>
    </row>
    <row r="7" spans="1:50" x14ac:dyDescent="0.3">
      <c r="A7" s="1">
        <v>4</v>
      </c>
      <c r="B7" s="48">
        <v>45325</v>
      </c>
      <c r="C7" s="1">
        <v>0.43049999999999999</v>
      </c>
      <c r="D7" s="1">
        <f t="shared" si="0"/>
        <v>17.22</v>
      </c>
      <c r="E7" s="1"/>
      <c r="F7" s="1"/>
      <c r="I7" s="73" t="s">
        <v>105</v>
      </c>
      <c r="J7" s="69">
        <v>5.2268999999999997</v>
      </c>
      <c r="L7" s="35" t="s">
        <v>43</v>
      </c>
      <c r="M7" s="51">
        <f>J41</f>
        <v>587.38</v>
      </c>
      <c r="N7" s="180"/>
      <c r="O7" s="176"/>
      <c r="Q7" s="45" t="s">
        <v>62</v>
      </c>
      <c r="R7" s="32">
        <v>71.89</v>
      </c>
      <c r="S7" s="171">
        <f>AVERAGE(R7:R9)</f>
        <v>71.38666666666667</v>
      </c>
      <c r="T7" s="171">
        <f>_xlfn.STDEV.P(R7:R9)</f>
        <v>0.3866379299666402</v>
      </c>
      <c r="U7" s="32">
        <f>100-R7</f>
        <v>28.11</v>
      </c>
      <c r="V7" s="171">
        <f>AVERAGE(U7:U9)</f>
        <v>28.613333333333333</v>
      </c>
      <c r="W7" s="177">
        <f>_xlfn.STDEV.P(U7:U9)</f>
        <v>0.3866379299666402</v>
      </c>
      <c r="Y7" s="45" t="s">
        <v>78</v>
      </c>
      <c r="Z7" s="32">
        <v>72.97</v>
      </c>
      <c r="AA7" s="171">
        <f>AVERAGE(Z7:Z9)</f>
        <v>72.75333333333333</v>
      </c>
      <c r="AB7" s="171">
        <f>_xlfn.STDEV.P(Z7:Z9)</f>
        <v>0.16819301082056998</v>
      </c>
      <c r="AC7" s="32">
        <f>100-Z7</f>
        <v>27.03</v>
      </c>
      <c r="AD7" s="171">
        <f>AVERAGE(AC7:AC9)</f>
        <v>27.246666666666666</v>
      </c>
      <c r="AE7" s="177">
        <f>_xlfn.STDEV.P(AC7:AC9)</f>
        <v>0.16819301082056998</v>
      </c>
      <c r="AG7" s="90" t="s">
        <v>138</v>
      </c>
      <c r="AH7" s="91">
        <f>AC2/M23*100</f>
        <v>102.36429177268872</v>
      </c>
      <c r="AI7" s="166">
        <f>AVERAGE(AH7:AH9)</f>
        <v>96.833786875725693</v>
      </c>
      <c r="AJ7" s="163">
        <f>_xlfn.STDEV.P(AH7:AH9)</f>
        <v>5.3308685116205403</v>
      </c>
      <c r="AK7" s="81"/>
      <c r="AL7" s="21"/>
      <c r="AM7" s="81"/>
      <c r="AN7" s="81"/>
    </row>
    <row r="8" spans="1:50" x14ac:dyDescent="0.3">
      <c r="A8" s="1">
        <v>5</v>
      </c>
      <c r="B8" s="48">
        <v>45326</v>
      </c>
      <c r="C8" s="1">
        <v>0.49559999999999998</v>
      </c>
      <c r="D8" s="1">
        <f t="shared" si="0"/>
        <v>19.823999999999998</v>
      </c>
      <c r="E8" s="1"/>
      <c r="F8" s="1"/>
      <c r="L8" s="36" t="s">
        <v>51</v>
      </c>
      <c r="M8" s="49">
        <v>38.880000000000003</v>
      </c>
      <c r="N8" s="171">
        <f>AVERAGE(M8:M10)</f>
        <v>38.880000000000003</v>
      </c>
      <c r="O8" s="177">
        <f>_xlfn.STDEV.P(M8:M10)</f>
        <v>0</v>
      </c>
      <c r="Q8" s="46" t="s">
        <v>63</v>
      </c>
      <c r="R8" s="21">
        <v>70.95</v>
      </c>
      <c r="S8" s="172"/>
      <c r="T8" s="172"/>
      <c r="U8" s="21">
        <f t="shared" ref="U8:U15" si="1">100-R8</f>
        <v>29.049999999999997</v>
      </c>
      <c r="V8" s="172"/>
      <c r="W8" s="178"/>
      <c r="Y8" s="46" t="s">
        <v>79</v>
      </c>
      <c r="Z8" s="21">
        <v>72.56</v>
      </c>
      <c r="AA8" s="172"/>
      <c r="AB8" s="172"/>
      <c r="AC8" s="21">
        <f t="shared" ref="AC8:AC15" si="2">100-Z8</f>
        <v>27.439999999999998</v>
      </c>
      <c r="AD8" s="172"/>
      <c r="AE8" s="178"/>
      <c r="AG8" s="92" t="s">
        <v>139</v>
      </c>
      <c r="AH8" s="93">
        <f t="shared" ref="AH8:AH9" si="3">AC3/M24*100</f>
        <v>89.631488639697906</v>
      </c>
      <c r="AI8" s="167"/>
      <c r="AJ8" s="164"/>
      <c r="AK8" s="81"/>
      <c r="AL8" s="21"/>
      <c r="AM8" s="81"/>
      <c r="AN8" s="81"/>
    </row>
    <row r="9" spans="1:50" x14ac:dyDescent="0.3">
      <c r="A9" s="1">
        <v>6</v>
      </c>
      <c r="B9" s="48">
        <v>45327</v>
      </c>
      <c r="C9" s="1">
        <v>1.0049999999999999</v>
      </c>
      <c r="D9" s="1">
        <f t="shared" si="0"/>
        <v>40.199999999999996</v>
      </c>
      <c r="E9" s="1"/>
      <c r="F9" s="1"/>
      <c r="I9" s="74" t="s">
        <v>121</v>
      </c>
      <c r="J9" s="74">
        <v>0.2</v>
      </c>
      <c r="L9" s="34" t="s">
        <v>52</v>
      </c>
      <c r="M9" s="50">
        <v>38.880000000000003</v>
      </c>
      <c r="N9" s="172"/>
      <c r="O9" s="178"/>
      <c r="Q9" s="47" t="s">
        <v>64</v>
      </c>
      <c r="R9" s="10">
        <v>71.319999999999993</v>
      </c>
      <c r="S9" s="173"/>
      <c r="T9" s="173"/>
      <c r="U9" s="10">
        <f t="shared" si="1"/>
        <v>28.680000000000007</v>
      </c>
      <c r="V9" s="173"/>
      <c r="W9" s="179"/>
      <c r="Y9" s="47" t="s">
        <v>80</v>
      </c>
      <c r="Z9" s="10">
        <v>72.73</v>
      </c>
      <c r="AA9" s="173"/>
      <c r="AB9" s="173"/>
      <c r="AC9" s="10">
        <f t="shared" si="2"/>
        <v>27.269999999999996</v>
      </c>
      <c r="AD9" s="173"/>
      <c r="AE9" s="179"/>
      <c r="AG9" s="94" t="s">
        <v>140</v>
      </c>
      <c r="AH9" s="95">
        <f t="shared" si="3"/>
        <v>98.505580214790427</v>
      </c>
      <c r="AI9" s="168"/>
      <c r="AJ9" s="165"/>
      <c r="AK9" s="81"/>
      <c r="AL9" s="21"/>
      <c r="AM9" s="81"/>
      <c r="AN9" s="81"/>
    </row>
    <row r="10" spans="1:50" x14ac:dyDescent="0.3">
      <c r="A10" s="1">
        <v>7</v>
      </c>
      <c r="B10" s="48">
        <v>45328</v>
      </c>
      <c r="C10" s="1">
        <v>1.9032</v>
      </c>
      <c r="D10" s="1">
        <f t="shared" si="0"/>
        <v>76.128</v>
      </c>
      <c r="E10" s="1"/>
      <c r="F10" s="1"/>
      <c r="L10" s="35" t="s">
        <v>53</v>
      </c>
      <c r="M10" s="51">
        <v>38.880000000000003</v>
      </c>
      <c r="N10" s="173"/>
      <c r="O10" s="179"/>
      <c r="Q10" s="45" t="s">
        <v>65</v>
      </c>
      <c r="R10" s="32">
        <v>71.89</v>
      </c>
      <c r="S10" s="171">
        <f>AVERAGE(R10:R12)</f>
        <v>71.05</v>
      </c>
      <c r="T10" s="171">
        <f>_xlfn.STDEV.P(R10:R12)</f>
        <v>1.3832570260078223</v>
      </c>
      <c r="U10" s="32">
        <f t="shared" si="1"/>
        <v>28.11</v>
      </c>
      <c r="V10" s="171">
        <f>AVERAGE(U10:U12)</f>
        <v>28.950000000000003</v>
      </c>
      <c r="W10" s="177">
        <f>_xlfn.STDEV.P(U10:U12)</f>
        <v>1.3832570260078223</v>
      </c>
      <c r="Y10" s="45" t="s">
        <v>81</v>
      </c>
      <c r="Z10" s="32">
        <v>71.959999999999994</v>
      </c>
      <c r="AA10" s="171">
        <f>AVERAGE(Z10:Z12)</f>
        <v>71.916666666666671</v>
      </c>
      <c r="AB10" s="171">
        <f>_xlfn.STDEV.P(Z10:Z12)</f>
        <v>0.47863231074478169</v>
      </c>
      <c r="AC10" s="32">
        <f t="shared" si="2"/>
        <v>28.040000000000006</v>
      </c>
      <c r="AD10" s="171">
        <f>AVERAGE(AC10:AC12)</f>
        <v>28.083333333333332</v>
      </c>
      <c r="AE10" s="177">
        <f>_xlfn.STDEV.P(AC10:AC12)</f>
        <v>0.47863231074478169</v>
      </c>
      <c r="AG10" s="21"/>
      <c r="AH10" s="21"/>
      <c r="AI10" s="21"/>
      <c r="AJ10" s="21"/>
      <c r="AK10" s="21"/>
      <c r="AL10" s="21"/>
      <c r="AM10" s="21"/>
      <c r="AN10" s="21"/>
    </row>
    <row r="11" spans="1:50" x14ac:dyDescent="0.3">
      <c r="A11" s="1">
        <v>8</v>
      </c>
      <c r="B11" s="48">
        <v>45329</v>
      </c>
      <c r="C11" s="1">
        <v>1.8795999999999999</v>
      </c>
      <c r="D11" s="1">
        <f t="shared" si="0"/>
        <v>75.183999999999997</v>
      </c>
      <c r="E11" s="1"/>
      <c r="F11" s="1"/>
      <c r="L11" s="36" t="s">
        <v>54</v>
      </c>
      <c r="M11" s="49">
        <f>J6</f>
        <v>38.880000000000003</v>
      </c>
      <c r="N11" s="171">
        <f>AVERAGE(M11:M13)</f>
        <v>38.880000000000003</v>
      </c>
      <c r="O11" s="177">
        <f>_xlfn.STDEV.P(M11:M13)</f>
        <v>0</v>
      </c>
      <c r="Q11" s="46" t="s">
        <v>66</v>
      </c>
      <c r="R11" s="21">
        <v>72.16</v>
      </c>
      <c r="S11" s="172"/>
      <c r="T11" s="172"/>
      <c r="U11" s="21">
        <f t="shared" si="1"/>
        <v>27.840000000000003</v>
      </c>
      <c r="V11" s="172"/>
      <c r="W11" s="178"/>
      <c r="Y11" s="46" t="s">
        <v>82</v>
      </c>
      <c r="Z11" s="21">
        <v>72.48</v>
      </c>
      <c r="AA11" s="172"/>
      <c r="AB11" s="172"/>
      <c r="AC11" s="21">
        <f t="shared" si="2"/>
        <v>27.519999999999996</v>
      </c>
      <c r="AD11" s="172"/>
      <c r="AE11" s="178"/>
      <c r="AH11" s="88" t="s">
        <v>141</v>
      </c>
      <c r="AI11" s="88" t="s">
        <v>36</v>
      </c>
      <c r="AJ11" s="88" t="s">
        <v>7</v>
      </c>
      <c r="AK11" s="21"/>
      <c r="AL11" s="21"/>
      <c r="AM11" s="21"/>
      <c r="AN11" s="21"/>
    </row>
    <row r="12" spans="1:50" x14ac:dyDescent="0.3">
      <c r="A12" s="1">
        <v>9</v>
      </c>
      <c r="B12" s="48">
        <v>45330</v>
      </c>
      <c r="C12" s="1">
        <v>2.2976999999999999</v>
      </c>
      <c r="D12" s="1">
        <f t="shared" si="0"/>
        <v>91.907999999999987</v>
      </c>
      <c r="E12" s="1"/>
      <c r="F12" s="1"/>
      <c r="L12" s="34" t="s">
        <v>55</v>
      </c>
      <c r="M12" s="50">
        <f>J24</f>
        <v>38.880000000000003</v>
      </c>
      <c r="N12" s="172"/>
      <c r="O12" s="178"/>
      <c r="Q12" s="47" t="s">
        <v>67</v>
      </c>
      <c r="R12" s="10">
        <v>69.099999999999994</v>
      </c>
      <c r="S12" s="173"/>
      <c r="T12" s="173"/>
      <c r="U12" s="10">
        <f t="shared" si="1"/>
        <v>30.900000000000006</v>
      </c>
      <c r="V12" s="173"/>
      <c r="W12" s="179"/>
      <c r="Y12" s="47" t="s">
        <v>83</v>
      </c>
      <c r="Z12" s="10">
        <v>71.31</v>
      </c>
      <c r="AA12" s="173"/>
      <c r="AB12" s="173"/>
      <c r="AC12" s="10">
        <f t="shared" si="2"/>
        <v>28.689999999999998</v>
      </c>
      <c r="AD12" s="173"/>
      <c r="AE12" s="179"/>
      <c r="AG12" s="90" t="s">
        <v>142</v>
      </c>
      <c r="AH12" s="91">
        <f>(M26-R18)/M26*100</f>
        <v>44.277933214864589</v>
      </c>
      <c r="AI12" s="166">
        <f>AVERAGE(AH12:AH14)</f>
        <v>41.567353213485859</v>
      </c>
      <c r="AJ12" s="163">
        <f>_xlfn.STDEV.P(AH12:AH14)</f>
        <v>2.6201014888830909</v>
      </c>
      <c r="AK12" s="129"/>
    </row>
    <row r="13" spans="1:50" x14ac:dyDescent="0.3">
      <c r="A13" s="1">
        <v>10</v>
      </c>
      <c r="B13" s="48">
        <v>45331</v>
      </c>
      <c r="C13" s="1">
        <v>67.492999999999995</v>
      </c>
      <c r="D13" s="1">
        <f>C13/D15*1000</f>
        <v>78.207415990729999</v>
      </c>
      <c r="E13" s="1"/>
      <c r="F13" s="1"/>
      <c r="L13" s="35" t="s">
        <v>56</v>
      </c>
      <c r="M13" s="51">
        <f>J42</f>
        <v>38.880000000000003</v>
      </c>
      <c r="N13" s="173"/>
      <c r="O13" s="179"/>
      <c r="Q13" s="45" t="s">
        <v>68</v>
      </c>
      <c r="R13" s="32">
        <v>69.099999999999994</v>
      </c>
      <c r="S13" s="171">
        <f>AVERAGE(R13:R15)</f>
        <v>70.899999999999991</v>
      </c>
      <c r="T13" s="171">
        <f>_xlfn.STDEV.P(R13:R15)</f>
        <v>1.482093114483706</v>
      </c>
      <c r="U13" s="32">
        <f t="shared" si="1"/>
        <v>30.900000000000006</v>
      </c>
      <c r="V13" s="171">
        <f>AVERAGE(U13:U15)</f>
        <v>29.099999999999998</v>
      </c>
      <c r="W13" s="177">
        <f>_xlfn.STDEV.P(U13:U15)</f>
        <v>1.482093114483706</v>
      </c>
      <c r="Y13" s="45" t="s">
        <v>84</v>
      </c>
      <c r="Z13" s="32">
        <v>71.34</v>
      </c>
      <c r="AA13" s="171">
        <f>AVERAGE(Z13:Z15)</f>
        <v>71.050000000000011</v>
      </c>
      <c r="AB13" s="171">
        <f>_xlfn.STDEV.P(Z13:Z15)</f>
        <v>0.36175498153676422</v>
      </c>
      <c r="AC13" s="32">
        <f t="shared" si="2"/>
        <v>28.659999999999997</v>
      </c>
      <c r="AD13" s="171">
        <f>AVERAGE(AC13:AC15)</f>
        <v>28.95</v>
      </c>
      <c r="AE13" s="177">
        <f>_xlfn.STDEV.P(AC13:AC15)</f>
        <v>0.36175498153676422</v>
      </c>
      <c r="AG13" s="92" t="s">
        <v>143</v>
      </c>
      <c r="AH13" s="93">
        <f t="shared" ref="AH13:AH14" si="4">(M27-R19)/M27*100</f>
        <v>42.399976547498156</v>
      </c>
      <c r="AI13" s="167"/>
      <c r="AJ13" s="164"/>
      <c r="AK13" s="129"/>
    </row>
    <row r="14" spans="1:50" x14ac:dyDescent="0.3">
      <c r="L14" s="36" t="s">
        <v>44</v>
      </c>
      <c r="M14" s="49">
        <f>M5+M11</f>
        <v>626.26</v>
      </c>
      <c r="N14" s="171">
        <f>AVERAGE(M14:M16)</f>
        <v>626.26</v>
      </c>
      <c r="O14" s="177">
        <f>_xlfn.STDEV.P(M14:M16)</f>
        <v>0</v>
      </c>
      <c r="Q14" s="46" t="s">
        <v>69</v>
      </c>
      <c r="R14" s="21">
        <v>70.87</v>
      </c>
      <c r="S14" s="172"/>
      <c r="T14" s="172"/>
      <c r="U14" s="21">
        <f t="shared" si="1"/>
        <v>29.129999999999995</v>
      </c>
      <c r="V14" s="172"/>
      <c r="W14" s="178"/>
      <c r="Y14" s="46" t="s">
        <v>85</v>
      </c>
      <c r="Z14" s="21">
        <v>71.27</v>
      </c>
      <c r="AA14" s="172"/>
      <c r="AB14" s="172"/>
      <c r="AC14" s="21">
        <f t="shared" si="2"/>
        <v>28.730000000000004</v>
      </c>
      <c r="AD14" s="172"/>
      <c r="AE14" s="178"/>
      <c r="AG14" s="94" t="s">
        <v>144</v>
      </c>
      <c r="AH14" s="95">
        <f t="shared" si="4"/>
        <v>38.024149878094832</v>
      </c>
      <c r="AI14" s="168"/>
      <c r="AJ14" s="165"/>
      <c r="AK14" s="129"/>
      <c r="AL14" s="89"/>
      <c r="AM14" s="89"/>
    </row>
    <row r="15" spans="1:50" x14ac:dyDescent="0.3">
      <c r="A15" s="53">
        <v>855</v>
      </c>
      <c r="B15" t="s">
        <v>119</v>
      </c>
      <c r="C15" t="s">
        <v>50</v>
      </c>
      <c r="D15" s="41">
        <v>863</v>
      </c>
      <c r="E15" t="s">
        <v>133</v>
      </c>
      <c r="F15">
        <v>12</v>
      </c>
      <c r="L15" s="34" t="s">
        <v>45</v>
      </c>
      <c r="M15" s="50">
        <f>M6+M12</f>
        <v>626.26</v>
      </c>
      <c r="N15" s="172"/>
      <c r="O15" s="178"/>
      <c r="Q15" s="47" t="s">
        <v>70</v>
      </c>
      <c r="R15" s="10">
        <v>72.73</v>
      </c>
      <c r="S15" s="173"/>
      <c r="T15" s="173"/>
      <c r="U15" s="10">
        <f t="shared" si="1"/>
        <v>27.269999999999996</v>
      </c>
      <c r="V15" s="173"/>
      <c r="W15" s="179"/>
      <c r="Y15" s="47" t="s">
        <v>86</v>
      </c>
      <c r="Z15" s="10">
        <v>70.540000000000006</v>
      </c>
      <c r="AA15" s="173"/>
      <c r="AB15" s="173"/>
      <c r="AC15" s="10">
        <f t="shared" si="2"/>
        <v>29.459999999999994</v>
      </c>
      <c r="AD15" s="173"/>
      <c r="AE15" s="179"/>
    </row>
    <row r="16" spans="1:50" x14ac:dyDescent="0.3">
      <c r="A16" s="54">
        <v>25</v>
      </c>
      <c r="B16" t="s">
        <v>118</v>
      </c>
      <c r="C16" t="s">
        <v>74</v>
      </c>
      <c r="D16" s="41">
        <v>333.01</v>
      </c>
      <c r="L16" s="35" t="s">
        <v>46</v>
      </c>
      <c r="M16" s="51">
        <f>M7+M13</f>
        <v>626.26</v>
      </c>
      <c r="N16" s="173"/>
      <c r="O16" s="179"/>
      <c r="AH16" s="96" t="s">
        <v>145</v>
      </c>
      <c r="AI16" s="89" t="s">
        <v>36</v>
      </c>
      <c r="AJ16" s="89" t="s">
        <v>7</v>
      </c>
      <c r="AL16" s="89"/>
      <c r="AM16" s="89"/>
    </row>
    <row r="17" spans="1:45" x14ac:dyDescent="0.3">
      <c r="L17" s="33" t="s">
        <v>106</v>
      </c>
      <c r="M17" s="49">
        <v>5.2281825</v>
      </c>
      <c r="N17" s="169">
        <f>AVERAGE(M17:M19)</f>
        <v>5.2281825</v>
      </c>
      <c r="O17" s="174">
        <f>_xlfn.STDEV.P(M17:M19)</f>
        <v>0</v>
      </c>
      <c r="R17" t="s">
        <v>61</v>
      </c>
      <c r="S17" t="s">
        <v>36</v>
      </c>
      <c r="T17" t="s">
        <v>7</v>
      </c>
      <c r="Z17" t="s">
        <v>61</v>
      </c>
      <c r="AA17" t="s">
        <v>36</v>
      </c>
      <c r="AB17" t="s">
        <v>7</v>
      </c>
      <c r="AG17" s="90" t="s">
        <v>182</v>
      </c>
      <c r="AH17" s="32">
        <f>AH12/10</f>
        <v>4.4277933214864591</v>
      </c>
      <c r="AI17" s="154">
        <f>AVERAGE(AH17:AH19)</f>
        <v>4.1567353213485863</v>
      </c>
      <c r="AJ17" s="157">
        <f>_xlfn.STDEV.P(AH17:AH19)</f>
        <v>0.26201014888830915</v>
      </c>
    </row>
    <row r="18" spans="1:45" x14ac:dyDescent="0.3">
      <c r="L18" s="34" t="s">
        <v>107</v>
      </c>
      <c r="M18" s="50">
        <v>5.2281825</v>
      </c>
      <c r="N18" s="170"/>
      <c r="O18" s="175"/>
      <c r="Q18" s="42" t="s">
        <v>71</v>
      </c>
      <c r="R18" s="32">
        <f>R2*(V7/100)</f>
        <v>95.285261333333338</v>
      </c>
      <c r="S18" s="171">
        <f>AVERAGE(R18:R20)</f>
        <v>99.920378777777785</v>
      </c>
      <c r="T18" s="177">
        <f>_xlfn.STDEV.P(R18:R20)</f>
        <v>4.4803983321501715</v>
      </c>
      <c r="Y18" s="42" t="s">
        <v>87</v>
      </c>
      <c r="Z18" s="32">
        <f>Z2*(AD7/100)</f>
        <v>18.645299700656622</v>
      </c>
      <c r="AA18" s="171">
        <f>AVERAGE(Z18:Z20)</f>
        <v>17.177661652877031</v>
      </c>
      <c r="AB18" s="177">
        <f>_xlfn.STDEV.P(Z18:Z20)</f>
        <v>1.0439220142041328</v>
      </c>
      <c r="AC18" s="187" t="s">
        <v>90</v>
      </c>
      <c r="AG18" s="92" t="s">
        <v>183</v>
      </c>
      <c r="AH18" s="21">
        <f t="shared" ref="AH18:AH19" si="5">AH13/10</f>
        <v>4.2399976547498159</v>
      </c>
      <c r="AI18" s="155"/>
      <c r="AJ18" s="158"/>
    </row>
    <row r="19" spans="1:45" x14ac:dyDescent="0.3">
      <c r="A19" s="5" t="s">
        <v>26</v>
      </c>
      <c r="L19" s="34" t="s">
        <v>108</v>
      </c>
      <c r="M19" s="50">
        <v>5.2281825</v>
      </c>
      <c r="N19" s="170"/>
      <c r="O19" s="175"/>
      <c r="Q19" s="43" t="s">
        <v>72</v>
      </c>
      <c r="R19" s="21">
        <f>R3*(V10/100)</f>
        <v>98.49658500000001</v>
      </c>
      <c r="S19" s="172"/>
      <c r="T19" s="178"/>
      <c r="Y19" s="43" t="s">
        <v>88</v>
      </c>
      <c r="Z19" s="21">
        <f>Z3*(AD10/100)</f>
        <v>16.582365833333331</v>
      </c>
      <c r="AA19" s="172"/>
      <c r="AB19" s="178"/>
      <c r="AC19" s="187"/>
      <c r="AG19" s="94" t="s">
        <v>184</v>
      </c>
      <c r="AH19" s="10">
        <f t="shared" si="5"/>
        <v>3.8024149878094833</v>
      </c>
      <c r="AI19" s="156"/>
      <c r="AJ19" s="159"/>
    </row>
    <row r="20" spans="1:45" x14ac:dyDescent="0.3">
      <c r="A20" s="52" t="s">
        <v>22</v>
      </c>
      <c r="B20" s="52" t="s">
        <v>23</v>
      </c>
      <c r="C20" s="52" t="s">
        <v>32</v>
      </c>
      <c r="D20" s="52" t="s">
        <v>33</v>
      </c>
      <c r="E20" s="52" t="s">
        <v>24</v>
      </c>
      <c r="F20" s="52" t="s">
        <v>25</v>
      </c>
      <c r="I20" s="65" t="s">
        <v>28</v>
      </c>
      <c r="J20" s="70">
        <f>M2</f>
        <v>587.37699999999995</v>
      </c>
      <c r="L20" s="36" t="s">
        <v>109</v>
      </c>
      <c r="M20" s="49">
        <f>J7</f>
        <v>5.2268999999999997</v>
      </c>
      <c r="N20" s="169">
        <f>AVERAGE(M20:M22)</f>
        <v>5.2265000000000006</v>
      </c>
      <c r="O20" s="174">
        <f>_xlfn.STDEV.P(M20:M22)</f>
        <v>4.9665548085847232E-4</v>
      </c>
      <c r="Q20" s="44" t="s">
        <v>73</v>
      </c>
      <c r="R20" s="10">
        <f>R4*(V13/100)</f>
        <v>105.97928999999999</v>
      </c>
      <c r="S20" s="173"/>
      <c r="T20" s="179"/>
      <c r="Y20" s="44" t="s">
        <v>89</v>
      </c>
      <c r="Z20" s="10">
        <f>Z4*(AD13/100)</f>
        <v>16.305319424641148</v>
      </c>
      <c r="AA20" s="173"/>
      <c r="AB20" s="179"/>
      <c r="AC20" s="187"/>
    </row>
    <row r="21" spans="1:45" x14ac:dyDescent="0.3">
      <c r="A21" s="1">
        <v>0</v>
      </c>
      <c r="B21" s="48">
        <v>45321</v>
      </c>
      <c r="C21" s="1">
        <v>5.2257999999999996</v>
      </c>
      <c r="D21" s="1">
        <f>C21/A33*1000</f>
        <v>6.1120467836257308</v>
      </c>
      <c r="E21" s="1"/>
      <c r="F21" s="1"/>
      <c r="I21" s="66" t="s">
        <v>29</v>
      </c>
      <c r="J21" s="71">
        <f>M8</f>
        <v>38.880000000000003</v>
      </c>
      <c r="L21" s="34" t="s">
        <v>110</v>
      </c>
      <c r="M21" s="50">
        <f>J25</f>
        <v>5.2257999999999996</v>
      </c>
      <c r="N21" s="170"/>
      <c r="O21" s="175"/>
      <c r="Y21" s="42" t="s">
        <v>91</v>
      </c>
      <c r="Z21" s="32">
        <f>M20</f>
        <v>5.2268999999999997</v>
      </c>
      <c r="AA21" s="171">
        <f>AVERAGE(Z21:Z23)</f>
        <v>5.2265000000000006</v>
      </c>
      <c r="AB21" s="177">
        <f>_xlfn.STDEV.P(Z21:Z23)</f>
        <v>4.9665548085847232E-4</v>
      </c>
      <c r="AH21" s="85" t="s">
        <v>172</v>
      </c>
      <c r="AI21" s="89" t="s">
        <v>36</v>
      </c>
      <c r="AJ21" s="89" t="s">
        <v>7</v>
      </c>
    </row>
    <row r="22" spans="1:45" x14ac:dyDescent="0.3">
      <c r="A22" s="1">
        <v>1</v>
      </c>
      <c r="B22" s="48">
        <v>45322</v>
      </c>
      <c r="C22" s="1">
        <v>0.1671</v>
      </c>
      <c r="D22" s="1">
        <f>C22/A$16*1000</f>
        <v>6.6840000000000002</v>
      </c>
      <c r="E22" s="1"/>
      <c r="F22" s="1"/>
      <c r="I22" s="67" t="s">
        <v>104</v>
      </c>
      <c r="J22" s="72">
        <v>5.2281824999999991</v>
      </c>
      <c r="L22" s="35" t="s">
        <v>111</v>
      </c>
      <c r="M22" s="51">
        <f>J43</f>
        <v>5.2267999999999999</v>
      </c>
      <c r="N22" s="180"/>
      <c r="O22" s="176"/>
      <c r="Y22" s="43" t="s">
        <v>92</v>
      </c>
      <c r="Z22" s="21">
        <f t="shared" ref="Z22:Z23" si="6">M21</f>
        <v>5.2257999999999996</v>
      </c>
      <c r="AA22" s="172"/>
      <c r="AB22" s="178"/>
      <c r="AC22" t="s">
        <v>94</v>
      </c>
      <c r="AD22" s="83">
        <v>22.966666666666665</v>
      </c>
      <c r="AG22" s="90" t="s">
        <v>147</v>
      </c>
      <c r="AH22" s="32">
        <f>Z27/(M26-R18)</f>
        <v>0.23039948826265594</v>
      </c>
      <c r="AI22" s="154">
        <f>AVERAGE(AH22:AH24)</f>
        <v>0.22495342836645071</v>
      </c>
      <c r="AJ22" s="157">
        <f>_xlfn.STDEV.P(AH22:AH24)</f>
        <v>9.0831439531572009E-3</v>
      </c>
    </row>
    <row r="23" spans="1:45" x14ac:dyDescent="0.3">
      <c r="A23" s="1">
        <v>2</v>
      </c>
      <c r="B23" s="48">
        <v>45323</v>
      </c>
      <c r="C23" s="1">
        <v>0.24440000000000001</v>
      </c>
      <c r="D23" s="1">
        <f t="shared" ref="D23:D30" si="7">C23/A$16*1000</f>
        <v>9.7759999999999998</v>
      </c>
      <c r="E23" s="1"/>
      <c r="F23" s="1"/>
      <c r="I23" s="66" t="s">
        <v>30</v>
      </c>
      <c r="J23" s="68">
        <v>587.38</v>
      </c>
      <c r="L23" s="36" t="s">
        <v>124</v>
      </c>
      <c r="M23" s="75">
        <f>M20/'Berechnungen Fütterungsmenge'!$F$21</f>
        <v>854.79026411185919</v>
      </c>
      <c r="N23" s="169">
        <f>AVERAGE(M23:M25)</f>
        <v>854.72484940990489</v>
      </c>
      <c r="O23" s="174">
        <f>_xlfn.STDEV.P(M23:M25)</f>
        <v>8.1221425635780761E-2</v>
      </c>
      <c r="Y23" s="44" t="s">
        <v>93</v>
      </c>
      <c r="Z23" s="10">
        <f t="shared" si="6"/>
        <v>5.2267999999999999</v>
      </c>
      <c r="AA23" s="173"/>
      <c r="AB23" s="179"/>
      <c r="AG23" s="92" t="s">
        <v>148</v>
      </c>
      <c r="AH23" s="21">
        <f t="shared" ref="AH23:AH24" si="8">Z28/(M27-R19)</f>
        <v>0.2121551525247794</v>
      </c>
      <c r="AI23" s="155"/>
      <c r="AJ23" s="158"/>
    </row>
    <row r="24" spans="1:45" x14ac:dyDescent="0.3">
      <c r="A24" s="1">
        <v>3</v>
      </c>
      <c r="B24" s="48">
        <v>45324</v>
      </c>
      <c r="C24" s="1">
        <v>0.42299999999999999</v>
      </c>
      <c r="D24" s="1">
        <f t="shared" si="7"/>
        <v>16.920000000000002</v>
      </c>
      <c r="E24" s="1"/>
      <c r="F24" s="1"/>
      <c r="I24" s="66" t="s">
        <v>31</v>
      </c>
      <c r="J24" s="68">
        <v>38.880000000000003</v>
      </c>
      <c r="L24" s="34" t="s">
        <v>125</v>
      </c>
      <c r="M24" s="76">
        <f>M21/'Berechnungen Fütterungsmenge'!$F$21</f>
        <v>854.61037368148493</v>
      </c>
      <c r="N24" s="170"/>
      <c r="O24" s="175"/>
      <c r="Y24" s="42" t="s">
        <v>95</v>
      </c>
      <c r="Z24" s="32">
        <f>Z21*(AD22/100)</f>
        <v>1.2004446999999998</v>
      </c>
      <c r="AA24" s="171">
        <f>AVERAGE(Z24:Z26)</f>
        <v>1.2003528333333333</v>
      </c>
      <c r="AB24" s="177">
        <f>_xlfn.STDEV.P(Z24:Z26)</f>
        <v>1.1406520877047806E-4</v>
      </c>
      <c r="AG24" s="94" t="s">
        <v>149</v>
      </c>
      <c r="AH24" s="10">
        <f t="shared" si="8"/>
        <v>0.23230564431191683</v>
      </c>
      <c r="AI24" s="156"/>
      <c r="AJ24" s="159"/>
    </row>
    <row r="25" spans="1:45" x14ac:dyDescent="0.3">
      <c r="A25" s="1">
        <v>4</v>
      </c>
      <c r="B25" s="48">
        <v>45325</v>
      </c>
      <c r="C25" s="1">
        <v>0.4304</v>
      </c>
      <c r="D25" s="1">
        <f t="shared" si="7"/>
        <v>17.215999999999998</v>
      </c>
      <c r="E25" s="1"/>
      <c r="F25" s="1"/>
      <c r="I25" s="73" t="s">
        <v>105</v>
      </c>
      <c r="J25" s="69">
        <v>5.2257999999999996</v>
      </c>
      <c r="L25" s="35" t="s">
        <v>126</v>
      </c>
      <c r="M25" s="77">
        <f>M22/'Berechnungen Fütterungsmenge'!$F$21</f>
        <v>854.77391043637067</v>
      </c>
      <c r="N25" s="180"/>
      <c r="O25" s="176"/>
      <c r="Y25" s="43" t="s">
        <v>96</v>
      </c>
      <c r="Z25" s="21">
        <f>Z22*(AD22/100)</f>
        <v>1.2001920666666666</v>
      </c>
      <c r="AA25" s="172"/>
      <c r="AB25" s="178"/>
    </row>
    <row r="26" spans="1:45" x14ac:dyDescent="0.3">
      <c r="A26" s="1">
        <v>5</v>
      </c>
      <c r="B26" s="48">
        <v>45326</v>
      </c>
      <c r="C26" s="1">
        <v>0.5484</v>
      </c>
      <c r="D26" s="1">
        <f t="shared" si="7"/>
        <v>21.936</v>
      </c>
      <c r="E26" s="1"/>
      <c r="F26" s="1"/>
      <c r="L26" s="36" t="s">
        <v>127</v>
      </c>
      <c r="M26" s="49">
        <f>M5*('Berechnungen Fütterungsmenge'!$F$5/100)+M11*('Berechnungen Fütterungsmenge'!$F$10/100)</f>
        <v>171.000946</v>
      </c>
      <c r="N26" s="171">
        <f>AVERAGE(M26:M28)</f>
        <v>171.000946</v>
      </c>
      <c r="O26" s="177">
        <f>_xlfn.STDEV.P(M26:M28)</f>
        <v>0</v>
      </c>
      <c r="Y26" s="44" t="s">
        <v>97</v>
      </c>
      <c r="Z26" s="10">
        <f>Z23*(AD22/100)</f>
        <v>1.2004217333333334</v>
      </c>
      <c r="AA26" s="173"/>
      <c r="AB26" s="179"/>
      <c r="AH26" s="85" t="s">
        <v>150</v>
      </c>
      <c r="AI26" s="89" t="s">
        <v>36</v>
      </c>
      <c r="AJ26" s="89" t="s">
        <v>7</v>
      </c>
      <c r="AK26" s="130"/>
      <c r="AL26" s="130"/>
      <c r="AM26" s="130"/>
      <c r="AN26" s="130"/>
      <c r="AO26" s="130"/>
      <c r="AP26" s="130"/>
      <c r="AQ26" s="130"/>
      <c r="AR26" s="133"/>
      <c r="AS26" s="133"/>
    </row>
    <row r="27" spans="1:45" ht="14.4" customHeight="1" x14ac:dyDescent="0.3">
      <c r="A27" s="1">
        <v>6</v>
      </c>
      <c r="B27" s="48">
        <v>45327</v>
      </c>
      <c r="C27" s="1">
        <v>1.1718</v>
      </c>
      <c r="D27" s="1">
        <f t="shared" si="7"/>
        <v>46.872</v>
      </c>
      <c r="E27" s="1"/>
      <c r="F27" s="1"/>
      <c r="I27" s="74"/>
      <c r="J27" s="74"/>
      <c r="L27" s="34" t="s">
        <v>128</v>
      </c>
      <c r="M27" s="50">
        <f>M6*('Berechnungen Fütterungsmenge'!$F$5/100)+M12*('Berechnungen Fütterungsmenge'!$F$10/100)</f>
        <v>171.000946</v>
      </c>
      <c r="N27" s="172"/>
      <c r="O27" s="178"/>
      <c r="Y27" s="42" t="s">
        <v>98</v>
      </c>
      <c r="Z27" s="32">
        <f>Z18-Z24</f>
        <v>17.444855000656624</v>
      </c>
      <c r="AA27" s="171">
        <f>AVERAGE(Z27:Z29)</f>
        <v>15.977308819543699</v>
      </c>
      <c r="AB27" s="177">
        <f>_xlfn.STDEV.P(Z27:Z29)</f>
        <v>1.0438676004059597</v>
      </c>
      <c r="AG27" s="90" t="s">
        <v>151</v>
      </c>
      <c r="AH27" s="32">
        <f>(Z18-Z24)/10</f>
        <v>1.7444855000656623</v>
      </c>
      <c r="AI27" s="154">
        <f>AVERAGE(AH27:AH29)</f>
        <v>1.5977308819543701</v>
      </c>
      <c r="AJ27" s="154">
        <f>_xlfn.STDEV.P(AH27:AH29)</f>
        <v>0.10438676004059591</v>
      </c>
      <c r="AK27" s="132"/>
      <c r="AL27" s="132"/>
      <c r="AM27" s="132"/>
      <c r="AN27" s="132"/>
      <c r="AO27" s="132"/>
      <c r="AP27" s="134"/>
      <c r="AQ27" s="130"/>
      <c r="AR27" s="135"/>
      <c r="AS27" s="135"/>
    </row>
    <row r="28" spans="1:45" x14ac:dyDescent="0.3">
      <c r="A28" s="1">
        <v>7</v>
      </c>
      <c r="B28" s="48">
        <v>45328</v>
      </c>
      <c r="C28" s="1">
        <v>1.4311</v>
      </c>
      <c r="D28" s="1">
        <f t="shared" si="7"/>
        <v>57.244</v>
      </c>
      <c r="E28" s="1"/>
      <c r="F28" s="1"/>
      <c r="L28" s="35" t="s">
        <v>129</v>
      </c>
      <c r="M28" s="51">
        <f>M7*('Berechnungen Fütterungsmenge'!$F$5/100)+M13*('Berechnungen Fütterungsmenge'!$F$10/100)</f>
        <v>171.000946</v>
      </c>
      <c r="N28" s="173"/>
      <c r="O28" s="179"/>
      <c r="Y28" s="43" t="s">
        <v>99</v>
      </c>
      <c r="Z28" s="21">
        <f>Z19-Z25</f>
        <v>15.382173766666664</v>
      </c>
      <c r="AA28" s="172"/>
      <c r="AB28" s="178"/>
      <c r="AG28" s="92" t="s">
        <v>152</v>
      </c>
      <c r="AH28" s="21">
        <f t="shared" ref="AH28:AH29" si="9">(Z19-Z25)/10</f>
        <v>1.5382173766666665</v>
      </c>
      <c r="AI28" s="155"/>
      <c r="AJ28" s="155"/>
      <c r="AK28" s="132"/>
      <c r="AL28" s="132"/>
      <c r="AM28" s="132"/>
      <c r="AN28" s="132"/>
      <c r="AO28" s="132"/>
      <c r="AP28" s="134"/>
      <c r="AQ28" s="130"/>
      <c r="AR28" s="135"/>
      <c r="AS28" s="135"/>
    </row>
    <row r="29" spans="1:45" x14ac:dyDescent="0.3">
      <c r="A29" s="1">
        <v>8</v>
      </c>
      <c r="B29" s="48">
        <v>45329</v>
      </c>
      <c r="C29" s="1">
        <v>1.7282999999999999</v>
      </c>
      <c r="D29" s="1">
        <f t="shared" si="7"/>
        <v>69.132000000000005</v>
      </c>
      <c r="E29" s="1"/>
      <c r="F29" s="1"/>
      <c r="Y29" s="44" t="s">
        <v>100</v>
      </c>
      <c r="Z29" s="10">
        <f>Z20-Z26</f>
        <v>15.104897691307814</v>
      </c>
      <c r="AA29" s="173"/>
      <c r="AB29" s="179"/>
      <c r="AG29" s="94" t="s">
        <v>153</v>
      </c>
      <c r="AH29" s="10">
        <f t="shared" si="9"/>
        <v>1.5104897691307815</v>
      </c>
      <c r="AI29" s="156"/>
      <c r="AJ29" s="156"/>
      <c r="AK29" s="132"/>
      <c r="AL29" s="132"/>
      <c r="AM29" s="132"/>
      <c r="AN29" s="132"/>
      <c r="AO29" s="132"/>
      <c r="AP29" s="134"/>
      <c r="AQ29" s="130"/>
      <c r="AR29" s="135"/>
      <c r="AS29" s="135"/>
    </row>
    <row r="30" spans="1:45" x14ac:dyDescent="0.3">
      <c r="A30" s="1">
        <v>9</v>
      </c>
      <c r="B30" s="48">
        <v>45330</v>
      </c>
      <c r="C30" s="1">
        <v>1.8439000000000001</v>
      </c>
      <c r="D30" s="1">
        <f t="shared" si="7"/>
        <v>73.756</v>
      </c>
      <c r="E30" s="1"/>
      <c r="F30" s="1"/>
    </row>
    <row r="31" spans="1:45" ht="43.2" x14ac:dyDescent="0.3">
      <c r="A31" s="1">
        <v>10</v>
      </c>
      <c r="B31" s="48">
        <v>45331</v>
      </c>
      <c r="C31" s="1">
        <v>59.046999999999997</v>
      </c>
      <c r="D31" s="1">
        <f>C31/D33*1000</f>
        <v>77.08485639686684</v>
      </c>
      <c r="E31" s="1"/>
      <c r="F31" s="1"/>
      <c r="AD31" s="102" t="s">
        <v>131</v>
      </c>
      <c r="AE31" s="21"/>
      <c r="AG31" s="99"/>
      <c r="AH31" s="120" t="s">
        <v>185</v>
      </c>
      <c r="AI31" s="89" t="s">
        <v>36</v>
      </c>
      <c r="AJ31" s="89" t="s">
        <v>7</v>
      </c>
      <c r="AL31" s="136"/>
    </row>
    <row r="32" spans="1:45" x14ac:dyDescent="0.3">
      <c r="AA32" s="100"/>
      <c r="AB32" s="101"/>
      <c r="AC32" s="186" t="s">
        <v>154</v>
      </c>
      <c r="AD32" s="182">
        <f>Z2/AC2</f>
        <v>7.820741599073E-2</v>
      </c>
      <c r="AE32" s="188"/>
      <c r="AG32" s="126" t="s">
        <v>186</v>
      </c>
      <c r="AH32" s="32">
        <f>Z27</f>
        <v>17.444855000656624</v>
      </c>
      <c r="AI32" s="154">
        <f>AVERAGE(AH32:AH34)</f>
        <v>15.977308819543699</v>
      </c>
      <c r="AJ32" s="157">
        <f>_xlfn.STDEV.P(AH32:AH34)</f>
        <v>1.0438676004059597</v>
      </c>
      <c r="AL32" s="137"/>
    </row>
    <row r="33" spans="1:38" x14ac:dyDescent="0.3">
      <c r="A33" s="53">
        <v>855</v>
      </c>
      <c r="B33" t="s">
        <v>119</v>
      </c>
      <c r="C33" t="s">
        <v>50</v>
      </c>
      <c r="D33" s="41">
        <v>766</v>
      </c>
      <c r="E33" t="s">
        <v>133</v>
      </c>
      <c r="F33">
        <v>0</v>
      </c>
      <c r="AA33" s="100"/>
      <c r="AB33" s="101"/>
      <c r="AC33" s="181"/>
      <c r="AD33" s="183"/>
      <c r="AE33" s="188"/>
      <c r="AG33" s="127" t="s">
        <v>187</v>
      </c>
      <c r="AH33" s="21">
        <f t="shared" ref="AH33:AH34" si="10">Z28</f>
        <v>15.382173766666664</v>
      </c>
      <c r="AI33" s="155"/>
      <c r="AJ33" s="158"/>
      <c r="AL33" s="137"/>
    </row>
    <row r="34" spans="1:38" x14ac:dyDescent="0.3">
      <c r="A34" s="54">
        <v>25</v>
      </c>
      <c r="B34" t="s">
        <v>118</v>
      </c>
      <c r="C34" t="s">
        <v>74</v>
      </c>
      <c r="D34" s="41">
        <v>340.23</v>
      </c>
      <c r="AA34" s="100"/>
      <c r="AB34" s="101"/>
      <c r="AC34" s="181"/>
      <c r="AD34" s="184"/>
      <c r="AE34" s="188"/>
      <c r="AG34" s="128" t="s">
        <v>188</v>
      </c>
      <c r="AH34" s="10">
        <f t="shared" si="10"/>
        <v>15.104897691307814</v>
      </c>
      <c r="AI34" s="156"/>
      <c r="AJ34" s="159"/>
      <c r="AL34" s="137"/>
    </row>
    <row r="35" spans="1:38" x14ac:dyDescent="0.3">
      <c r="AA35" s="100"/>
      <c r="AB35" s="101"/>
      <c r="AC35" s="181" t="s">
        <v>155</v>
      </c>
      <c r="AD35" s="182">
        <f>Z3/AC3</f>
        <v>7.7084856396866838E-2</v>
      </c>
      <c r="AE35" s="188"/>
      <c r="AL35" s="138"/>
    </row>
    <row r="36" spans="1:38" x14ac:dyDescent="0.3">
      <c r="AA36" s="100"/>
      <c r="AB36" s="101"/>
      <c r="AC36" s="181"/>
      <c r="AD36" s="183"/>
      <c r="AE36" s="188"/>
      <c r="AG36" s="99"/>
      <c r="AH36" s="120" t="s">
        <v>189</v>
      </c>
      <c r="AI36" s="89" t="s">
        <v>36</v>
      </c>
      <c r="AJ36" s="89" t="s">
        <v>7</v>
      </c>
      <c r="AL36" s="138"/>
    </row>
    <row r="37" spans="1:38" x14ac:dyDescent="0.3">
      <c r="A37" s="5" t="s">
        <v>27</v>
      </c>
      <c r="AA37" s="100"/>
      <c r="AB37" s="101"/>
      <c r="AC37" s="181"/>
      <c r="AD37" s="184"/>
      <c r="AE37" s="188"/>
      <c r="AG37" s="126" t="s">
        <v>190</v>
      </c>
      <c r="AH37" s="32">
        <f>Z18*1000/AC2</f>
        <v>21.308913943607568</v>
      </c>
      <c r="AI37" s="154">
        <f>AVERAGE(AH37:AH39)</f>
        <v>20.773966185084131</v>
      </c>
      <c r="AJ37" s="157">
        <f>_xlfn.STDEV.P(AH37:AH39)</f>
        <v>1.0058695033058831</v>
      </c>
      <c r="AL37" s="138"/>
    </row>
    <row r="38" spans="1:38" x14ac:dyDescent="0.3">
      <c r="A38" s="52" t="s">
        <v>22</v>
      </c>
      <c r="B38" s="52" t="s">
        <v>23</v>
      </c>
      <c r="C38" s="52" t="s">
        <v>32</v>
      </c>
      <c r="D38" s="52" t="s">
        <v>33</v>
      </c>
      <c r="E38" s="52" t="s">
        <v>24</v>
      </c>
      <c r="F38" s="52" t="s">
        <v>25</v>
      </c>
      <c r="I38" s="65" t="s">
        <v>28</v>
      </c>
      <c r="J38" s="70">
        <f>M2</f>
        <v>587.37699999999995</v>
      </c>
      <c r="AA38" s="100"/>
      <c r="AB38" s="101"/>
      <c r="AC38" s="181" t="s">
        <v>156</v>
      </c>
      <c r="AD38" s="182">
        <f>Z4/AC4</f>
        <v>6.6891148325358848E-2</v>
      </c>
      <c r="AE38" s="188"/>
      <c r="AG38" s="127" t="s">
        <v>191</v>
      </c>
      <c r="AH38" s="21">
        <f t="shared" ref="AH38:AH39" si="11">Z19*1000/AC3</f>
        <v>21.647997171453433</v>
      </c>
      <c r="AI38" s="155"/>
      <c r="AJ38" s="158"/>
      <c r="AL38" s="138"/>
    </row>
    <row r="39" spans="1:38" x14ac:dyDescent="0.3">
      <c r="A39" s="1">
        <v>0</v>
      </c>
      <c r="B39" s="48">
        <v>45321</v>
      </c>
      <c r="C39" s="1">
        <v>5.2267999999999999</v>
      </c>
      <c r="D39" s="1">
        <f>C39/A51*1000</f>
        <v>6.1132163742690055</v>
      </c>
      <c r="E39" s="1"/>
      <c r="F39" s="1"/>
      <c r="I39" s="66" t="s">
        <v>29</v>
      </c>
      <c r="J39" s="71">
        <f>M8</f>
        <v>38.880000000000003</v>
      </c>
      <c r="Z39" s="100"/>
      <c r="AA39" s="100"/>
      <c r="AB39" s="101"/>
      <c r="AC39" s="181"/>
      <c r="AD39" s="183"/>
      <c r="AE39" s="188"/>
      <c r="AG39" s="128" t="s">
        <v>192</v>
      </c>
      <c r="AH39" s="10">
        <f t="shared" si="11"/>
        <v>19.364987440191388</v>
      </c>
      <c r="AI39" s="156"/>
      <c r="AJ39" s="159"/>
      <c r="AL39" s="138"/>
    </row>
    <row r="40" spans="1:38" x14ac:dyDescent="0.3">
      <c r="A40" s="1">
        <v>1</v>
      </c>
      <c r="B40" s="48">
        <v>45322</v>
      </c>
      <c r="C40" s="1">
        <v>0.17460000000000001</v>
      </c>
      <c r="D40" s="1">
        <f>C40/A$16*1000</f>
        <v>6.9840000000000009</v>
      </c>
      <c r="E40" s="1"/>
      <c r="F40" s="1"/>
      <c r="I40" s="67" t="s">
        <v>104</v>
      </c>
      <c r="J40" s="72">
        <v>5.2281824999999991</v>
      </c>
      <c r="Z40" s="100"/>
      <c r="AA40" s="100"/>
      <c r="AB40" s="101"/>
      <c r="AC40" s="185"/>
      <c r="AD40" s="184"/>
      <c r="AE40" s="188"/>
      <c r="AL40" s="138"/>
    </row>
    <row r="41" spans="1:38" x14ac:dyDescent="0.3">
      <c r="A41" s="1">
        <v>2</v>
      </c>
      <c r="B41" s="48">
        <v>45323</v>
      </c>
      <c r="C41" s="1">
        <v>0.27079999999999999</v>
      </c>
      <c r="D41" s="1">
        <f t="shared" ref="D41:D48" si="12">C41/A$16*1000</f>
        <v>10.831999999999999</v>
      </c>
      <c r="E41" s="1"/>
      <c r="F41" s="1"/>
      <c r="I41" s="66" t="s">
        <v>30</v>
      </c>
      <c r="J41" s="68">
        <v>587.38</v>
      </c>
      <c r="AC41" s="21"/>
      <c r="AD41" s="21"/>
      <c r="AE41" s="21"/>
      <c r="AG41" s="99"/>
      <c r="AH41" s="120" t="s">
        <v>180</v>
      </c>
      <c r="AI41" s="89" t="s">
        <v>36</v>
      </c>
      <c r="AJ41" s="89" t="s">
        <v>7</v>
      </c>
      <c r="AL41" s="138"/>
    </row>
    <row r="42" spans="1:38" x14ac:dyDescent="0.3">
      <c r="A42" s="1">
        <v>3</v>
      </c>
      <c r="B42" s="48">
        <v>45324</v>
      </c>
      <c r="C42" s="1">
        <v>0.36099999999999999</v>
      </c>
      <c r="D42" s="1">
        <f t="shared" si="12"/>
        <v>14.44</v>
      </c>
      <c r="E42" s="1"/>
      <c r="F42" s="1"/>
      <c r="I42" s="66" t="s">
        <v>31</v>
      </c>
      <c r="J42" s="68">
        <v>38.880000000000003</v>
      </c>
      <c r="AG42" s="126" t="s">
        <v>193</v>
      </c>
      <c r="AH42" s="32">
        <f>AH32*1000/M23</f>
        <v>20.408345453936711</v>
      </c>
      <c r="AI42" s="154">
        <f>AVERAGE(AH42:AH44)</f>
        <v>18.692871346031385</v>
      </c>
      <c r="AJ42" s="157">
        <f>_xlfn.STDEV.P(AH42:AH44)</f>
        <v>1.220384230828216</v>
      </c>
      <c r="AL42" s="139"/>
    </row>
    <row r="43" spans="1:38" x14ac:dyDescent="0.3">
      <c r="A43" s="1">
        <v>4</v>
      </c>
      <c r="B43" s="48">
        <v>45325</v>
      </c>
      <c r="C43" s="1">
        <v>0.37490000000000001</v>
      </c>
      <c r="D43" s="1">
        <f t="shared" si="12"/>
        <v>14.996</v>
      </c>
      <c r="E43" s="1"/>
      <c r="F43" s="1"/>
      <c r="I43" s="73" t="s">
        <v>105</v>
      </c>
      <c r="J43" s="69">
        <v>5.2267999999999999</v>
      </c>
      <c r="AG43" s="127" t="s">
        <v>194</v>
      </c>
      <c r="AH43" s="21">
        <f t="shared" ref="AH43:AH44" si="13">AH33*1000/M24</f>
        <v>17.999048736564522</v>
      </c>
      <c r="AI43" s="155"/>
      <c r="AJ43" s="158"/>
      <c r="AL43" s="136"/>
    </row>
    <row r="44" spans="1:38" x14ac:dyDescent="0.3">
      <c r="A44" s="1">
        <v>5</v>
      </c>
      <c r="B44" s="48">
        <v>45326</v>
      </c>
      <c r="C44" s="1">
        <v>0.51790000000000003</v>
      </c>
      <c r="D44" s="1">
        <f t="shared" si="12"/>
        <v>20.716000000000001</v>
      </c>
      <c r="E44" s="1"/>
      <c r="F44" s="1"/>
      <c r="AG44" s="128" t="s">
        <v>195</v>
      </c>
      <c r="AH44" s="10">
        <f t="shared" si="13"/>
        <v>17.671219847592926</v>
      </c>
      <c r="AI44" s="156"/>
      <c r="AJ44" s="159"/>
      <c r="AK44" s="97"/>
      <c r="AL44" s="97"/>
    </row>
    <row r="45" spans="1:38" x14ac:dyDescent="0.3">
      <c r="A45" s="1">
        <v>6</v>
      </c>
      <c r="B45" s="48">
        <v>45327</v>
      </c>
      <c r="C45" s="1">
        <v>1.0444</v>
      </c>
      <c r="D45" s="1">
        <f t="shared" si="12"/>
        <v>41.776000000000003</v>
      </c>
      <c r="E45" s="1"/>
      <c r="F45" s="1"/>
      <c r="AK45" s="97"/>
      <c r="AL45" s="97"/>
    </row>
    <row r="46" spans="1:38" x14ac:dyDescent="0.3">
      <c r="A46" s="1">
        <v>7</v>
      </c>
      <c r="B46" s="48">
        <v>45328</v>
      </c>
      <c r="C46" s="1">
        <v>1.3353999999999999</v>
      </c>
      <c r="D46" s="1">
        <f t="shared" si="12"/>
        <v>53.415999999999997</v>
      </c>
      <c r="E46" s="1"/>
      <c r="F46" s="1"/>
      <c r="AG46" s="99"/>
      <c r="AH46" s="120" t="s">
        <v>181</v>
      </c>
      <c r="AI46" s="89" t="s">
        <v>36</v>
      </c>
      <c r="AJ46" s="89" t="s">
        <v>7</v>
      </c>
      <c r="AK46" s="97"/>
      <c r="AL46" s="97"/>
    </row>
    <row r="47" spans="1:38" x14ac:dyDescent="0.3">
      <c r="A47" s="1">
        <v>8</v>
      </c>
      <c r="B47" s="48">
        <v>45329</v>
      </c>
      <c r="C47" s="1">
        <v>1.9303999999999999</v>
      </c>
      <c r="D47" s="1">
        <f t="shared" si="12"/>
        <v>77.215999999999994</v>
      </c>
      <c r="E47" s="1"/>
      <c r="F47" s="1"/>
      <c r="AG47" s="126" t="s">
        <v>196</v>
      </c>
      <c r="AH47" s="32">
        <f>AH27*1000/M23</f>
        <v>2.0408345453936714</v>
      </c>
      <c r="AI47" s="154">
        <f>AVERAGE(AH47:AH49)</f>
        <v>1.869287134603139</v>
      </c>
      <c r="AJ47" s="157">
        <f>_xlfn.STDEV.P(AH47:AH49)</f>
        <v>0.12203842308282163</v>
      </c>
      <c r="AK47" s="98"/>
      <c r="AL47" s="98"/>
    </row>
    <row r="48" spans="1:38" x14ac:dyDescent="0.3">
      <c r="A48" s="1">
        <v>9</v>
      </c>
      <c r="B48" s="48">
        <v>45330</v>
      </c>
      <c r="C48" s="1">
        <v>1.6234999999999999</v>
      </c>
      <c r="D48" s="1">
        <f t="shared" si="12"/>
        <v>64.94</v>
      </c>
      <c r="E48" s="1"/>
      <c r="F48" s="1"/>
      <c r="AG48" s="127" t="s">
        <v>197</v>
      </c>
      <c r="AH48" s="21">
        <f t="shared" ref="AH48:AH49" si="14">AH28*1000/M24</f>
        <v>1.7999048736564522</v>
      </c>
      <c r="AI48" s="155"/>
      <c r="AJ48" s="158"/>
      <c r="AK48" s="98"/>
      <c r="AL48" s="98"/>
    </row>
    <row r="49" spans="1:38" x14ac:dyDescent="0.3">
      <c r="A49" s="1">
        <v>10</v>
      </c>
      <c r="B49" s="48">
        <v>45331</v>
      </c>
      <c r="C49" s="1">
        <v>55.920999999999999</v>
      </c>
      <c r="D49" s="1">
        <f>C49/D51*1000</f>
        <v>66.891148325358841</v>
      </c>
      <c r="E49" s="1"/>
      <c r="F49" s="1"/>
      <c r="AG49" s="128" t="s">
        <v>198</v>
      </c>
      <c r="AH49" s="10">
        <f t="shared" si="14"/>
        <v>1.7671219847592929</v>
      </c>
      <c r="AI49" s="156"/>
      <c r="AJ49" s="159"/>
      <c r="AK49" s="98"/>
      <c r="AL49" s="98"/>
    </row>
    <row r="50" spans="1:38" x14ac:dyDescent="0.3">
      <c r="AK50" s="98"/>
      <c r="AL50" s="98"/>
    </row>
    <row r="51" spans="1:38" x14ac:dyDescent="0.3">
      <c r="A51" s="53">
        <v>855</v>
      </c>
      <c r="B51" t="s">
        <v>119</v>
      </c>
      <c r="C51" t="s">
        <v>50</v>
      </c>
      <c r="D51" s="41">
        <v>836</v>
      </c>
      <c r="E51" t="s">
        <v>133</v>
      </c>
      <c r="F51">
        <v>6</v>
      </c>
      <c r="AK51" s="98"/>
      <c r="AL51" s="98"/>
    </row>
    <row r="52" spans="1:38" x14ac:dyDescent="0.3">
      <c r="A52" s="54">
        <v>25</v>
      </c>
      <c r="B52" t="s">
        <v>118</v>
      </c>
      <c r="C52" t="s">
        <v>74</v>
      </c>
      <c r="D52" s="41">
        <v>364.19</v>
      </c>
      <c r="AK52" s="98"/>
      <c r="AL52" s="98"/>
    </row>
    <row r="53" spans="1:38" x14ac:dyDescent="0.3">
      <c r="AK53" s="98"/>
      <c r="AL53" s="98"/>
    </row>
  </sheetData>
  <mergeCells count="88">
    <mergeCell ref="AI27:AI29"/>
    <mergeCell ref="AJ27:AJ29"/>
    <mergeCell ref="AJ2:AJ4"/>
    <mergeCell ref="AJ7:AJ9"/>
    <mergeCell ref="AI2:AI4"/>
    <mergeCell ref="AI22:AI24"/>
    <mergeCell ref="AJ22:AJ24"/>
    <mergeCell ref="AI7:AI9"/>
    <mergeCell ref="AI12:AI14"/>
    <mergeCell ref="AJ12:AJ14"/>
    <mergeCell ref="AI17:AI19"/>
    <mergeCell ref="AJ17:AJ19"/>
    <mergeCell ref="AD2:AD4"/>
    <mergeCell ref="AE2:AE4"/>
    <mergeCell ref="AE32:AE34"/>
    <mergeCell ref="AE35:AE37"/>
    <mergeCell ref="AE38:AE40"/>
    <mergeCell ref="AE13:AE15"/>
    <mergeCell ref="AD10:AD12"/>
    <mergeCell ref="AE10:AE12"/>
    <mergeCell ref="AA7:AA9"/>
    <mergeCell ref="AB7:AB9"/>
    <mergeCell ref="AD7:AD9"/>
    <mergeCell ref="AE7:AE9"/>
    <mergeCell ref="N20:N22"/>
    <mergeCell ref="O20:O22"/>
    <mergeCell ref="AA13:AA15"/>
    <mergeCell ref="AB13:AB15"/>
    <mergeCell ref="AA10:AA12"/>
    <mergeCell ref="AB10:AB12"/>
    <mergeCell ref="AB18:AB20"/>
    <mergeCell ref="AA24:AA26"/>
    <mergeCell ref="N23:N25"/>
    <mergeCell ref="O23:O25"/>
    <mergeCell ref="N26:N28"/>
    <mergeCell ref="O26:O28"/>
    <mergeCell ref="AA21:AA23"/>
    <mergeCell ref="AB21:AB23"/>
    <mergeCell ref="AB24:AB26"/>
    <mergeCell ref="AA27:AA29"/>
    <mergeCell ref="AB27:AB29"/>
    <mergeCell ref="S18:S20"/>
    <mergeCell ref="T18:T20"/>
    <mergeCell ref="AA18:AA20"/>
    <mergeCell ref="N17:N19"/>
    <mergeCell ref="O17:O19"/>
    <mergeCell ref="N14:N16"/>
    <mergeCell ref="O14:O16"/>
    <mergeCell ref="N11:N13"/>
    <mergeCell ref="O11:O13"/>
    <mergeCell ref="S13:S15"/>
    <mergeCell ref="T13:T15"/>
    <mergeCell ref="V13:V15"/>
    <mergeCell ref="W13:W15"/>
    <mergeCell ref="W10:W12"/>
    <mergeCell ref="S10:S12"/>
    <mergeCell ref="T10:T12"/>
    <mergeCell ref="V10:V12"/>
    <mergeCell ref="AC38:AC40"/>
    <mergeCell ref="AD13:AD15"/>
    <mergeCell ref="AC32:AC34"/>
    <mergeCell ref="AC35:AC37"/>
    <mergeCell ref="AC18:AC20"/>
    <mergeCell ref="AD32:AD34"/>
    <mergeCell ref="AD35:AD37"/>
    <mergeCell ref="AD38:AD40"/>
    <mergeCell ref="AI47:AI49"/>
    <mergeCell ref="AJ47:AJ49"/>
    <mergeCell ref="W7:W9"/>
    <mergeCell ref="AB2:AB4"/>
    <mergeCell ref="N2:N4"/>
    <mergeCell ref="O2:O4"/>
    <mergeCell ref="S2:S4"/>
    <mergeCell ref="T2:T4"/>
    <mergeCell ref="AA2:AA4"/>
    <mergeCell ref="N5:N7"/>
    <mergeCell ref="O5:O7"/>
    <mergeCell ref="S7:S9"/>
    <mergeCell ref="T7:T9"/>
    <mergeCell ref="V7:V9"/>
    <mergeCell ref="N8:N10"/>
    <mergeCell ref="O8:O10"/>
    <mergeCell ref="AI32:AI34"/>
    <mergeCell ref="AJ32:AJ34"/>
    <mergeCell ref="AI37:AI39"/>
    <mergeCell ref="AJ37:AJ39"/>
    <mergeCell ref="AI42:AI44"/>
    <mergeCell ref="AJ42:AJ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89CA-2BF0-41D6-A690-0CA7983B1448}">
  <dimension ref="A1:G71"/>
  <sheetViews>
    <sheetView topLeftCell="D13" zoomScale="62" workbookViewId="0">
      <selection activeCell="AD43" sqref="AD43"/>
    </sheetView>
  </sheetViews>
  <sheetFormatPr baseColWidth="10" defaultRowHeight="14.4" x14ac:dyDescent="0.3"/>
  <cols>
    <col min="1" max="1" width="11.5546875" style="85"/>
    <col min="2" max="2" width="11.5546875" style="118"/>
    <col min="3" max="16384" width="11.5546875" style="85"/>
  </cols>
  <sheetData>
    <row r="1" spans="1:7" ht="23.4" x14ac:dyDescent="0.45">
      <c r="A1" s="103" t="s">
        <v>157</v>
      </c>
    </row>
    <row r="3" spans="1:7" x14ac:dyDescent="0.3">
      <c r="A3" s="85" t="s">
        <v>158</v>
      </c>
    </row>
    <row r="4" spans="1:7" x14ac:dyDescent="0.3">
      <c r="A4" s="85" t="s">
        <v>22</v>
      </c>
      <c r="B4" s="118" t="s">
        <v>23</v>
      </c>
      <c r="C4" s="85" t="s">
        <v>21</v>
      </c>
      <c r="D4" s="85" t="s">
        <v>26</v>
      </c>
      <c r="E4" s="85" t="s">
        <v>159</v>
      </c>
      <c r="F4" s="85" t="s">
        <v>6</v>
      </c>
      <c r="G4" s="85" t="s">
        <v>7</v>
      </c>
    </row>
    <row r="5" spans="1:7" x14ac:dyDescent="0.3">
      <c r="A5" s="1">
        <v>0</v>
      </c>
      <c r="B5" s="119">
        <v>45321</v>
      </c>
      <c r="C5" s="83">
        <f>'25 mg'!D3</f>
        <v>6.1154385964912281</v>
      </c>
      <c r="D5" s="83">
        <f>'25 mg'!D21</f>
        <v>6.1119298245614031</v>
      </c>
      <c r="E5" s="83">
        <f>'25 mg'!D39</f>
        <v>6.1108771929824561</v>
      </c>
      <c r="F5" s="83">
        <f>AVERAGE(C5:E5)</f>
        <v>6.1127485380116964</v>
      </c>
      <c r="G5" s="82">
        <f>_xlfn.STDEV.P(C5:E5)</f>
        <v>1.9500973100039501E-3</v>
      </c>
    </row>
    <row r="6" spans="1:7" x14ac:dyDescent="0.3">
      <c r="A6" s="1">
        <v>1</v>
      </c>
      <c r="B6" s="119">
        <v>45322</v>
      </c>
      <c r="C6" s="83">
        <f>'25 mg'!D4</f>
        <v>7.0839999999999996</v>
      </c>
      <c r="D6" s="83">
        <f>'25 mg'!D22</f>
        <v>7.024</v>
      </c>
      <c r="E6" s="83">
        <f>'25 mg'!D40</f>
        <v>7.0399999999999991</v>
      </c>
      <c r="F6" s="83">
        <f t="shared" ref="F6:F15" si="0">AVERAGE(C6:E6)</f>
        <v>7.0493333333333332</v>
      </c>
      <c r="G6" s="82">
        <f t="shared" ref="G6:G15" si="1">_xlfn.STDEV.P(C6:E6)</f>
        <v>2.5368396787253857E-2</v>
      </c>
    </row>
    <row r="7" spans="1:7" x14ac:dyDescent="0.3">
      <c r="A7" s="1">
        <v>2</v>
      </c>
      <c r="B7" s="119">
        <v>45323</v>
      </c>
      <c r="C7" s="83">
        <f>'25 mg'!D5</f>
        <v>9.8279999999999994</v>
      </c>
      <c r="D7" s="83">
        <f>'25 mg'!D23</f>
        <v>9.5239999999999991</v>
      </c>
      <c r="E7" s="83">
        <f>'25 mg'!D41</f>
        <v>9.4040000000000017</v>
      </c>
      <c r="F7" s="83">
        <f t="shared" si="0"/>
        <v>9.5853333333333328</v>
      </c>
      <c r="G7" s="82">
        <f t="shared" si="1"/>
        <v>0.17844762692609642</v>
      </c>
    </row>
    <row r="8" spans="1:7" x14ac:dyDescent="0.3">
      <c r="A8" s="1">
        <v>3</v>
      </c>
      <c r="B8" s="119">
        <v>45324</v>
      </c>
      <c r="C8" s="83">
        <f>'25 mg'!D6</f>
        <v>11.923999999999999</v>
      </c>
      <c r="D8" s="83">
        <f>'25 mg'!D24</f>
        <v>10.068</v>
      </c>
      <c r="E8" s="83">
        <f>'25 mg'!D42</f>
        <v>10.367999999999999</v>
      </c>
      <c r="F8" s="83">
        <f t="shared" si="0"/>
        <v>10.786666666666667</v>
      </c>
      <c r="G8" s="82">
        <f t="shared" si="1"/>
        <v>0.81348850978705023</v>
      </c>
    </row>
    <row r="9" spans="1:7" x14ac:dyDescent="0.3">
      <c r="A9" s="1">
        <v>4</v>
      </c>
      <c r="B9" s="119">
        <v>45325</v>
      </c>
      <c r="C9" s="83">
        <f>'25 mg'!D7</f>
        <v>13.364000000000001</v>
      </c>
      <c r="D9" s="83">
        <f>'25 mg'!D25</f>
        <v>11.852</v>
      </c>
      <c r="E9" s="83">
        <f>'25 mg'!D43</f>
        <v>9.2639999999999993</v>
      </c>
      <c r="F9" s="83">
        <f t="shared" si="0"/>
        <v>11.493333333333334</v>
      </c>
      <c r="G9" s="82">
        <f t="shared" si="1"/>
        <v>1.6929227848769484</v>
      </c>
    </row>
    <row r="10" spans="1:7" x14ac:dyDescent="0.3">
      <c r="A10" s="1">
        <v>5</v>
      </c>
      <c r="B10" s="119">
        <v>45326</v>
      </c>
      <c r="C10" s="83">
        <f>'25 mg'!D8</f>
        <v>11.104000000000001</v>
      </c>
      <c r="D10" s="83">
        <f>'25 mg'!D26</f>
        <v>12.416</v>
      </c>
      <c r="E10" s="83">
        <f>'25 mg'!D44</f>
        <v>10.931999999999999</v>
      </c>
      <c r="F10" s="83">
        <f t="shared" si="0"/>
        <v>11.484</v>
      </c>
      <c r="G10" s="82">
        <f t="shared" si="1"/>
        <v>0.66275385073695892</v>
      </c>
    </row>
    <row r="11" spans="1:7" x14ac:dyDescent="0.3">
      <c r="A11" s="1">
        <v>6</v>
      </c>
      <c r="B11" s="119">
        <v>45327</v>
      </c>
      <c r="C11" s="83">
        <f>'25 mg'!D9</f>
        <v>14.12</v>
      </c>
      <c r="D11" s="83">
        <f>'25 mg'!D27</f>
        <v>11.34</v>
      </c>
      <c r="E11" s="83">
        <f>'25 mg'!D45</f>
        <v>11.476000000000001</v>
      </c>
      <c r="F11" s="83">
        <f t="shared" si="0"/>
        <v>12.311999999999999</v>
      </c>
      <c r="G11" s="82">
        <f t="shared" si="1"/>
        <v>1.2796541199350218</v>
      </c>
    </row>
    <row r="12" spans="1:7" x14ac:dyDescent="0.3">
      <c r="A12" s="1">
        <v>7</v>
      </c>
      <c r="B12" s="119">
        <v>45328</v>
      </c>
      <c r="C12" s="83">
        <f>'25 mg'!D10</f>
        <v>16.712</v>
      </c>
      <c r="D12" s="83">
        <f>'25 mg'!D28</f>
        <v>16.907999999999998</v>
      </c>
      <c r="E12" s="83">
        <f>'25 mg'!D46</f>
        <v>18.808000000000003</v>
      </c>
      <c r="F12" s="83">
        <f t="shared" si="0"/>
        <v>17.475999999999999</v>
      </c>
      <c r="G12" s="82">
        <f t="shared" si="1"/>
        <v>0.94525904738683697</v>
      </c>
    </row>
    <row r="13" spans="1:7" x14ac:dyDescent="0.3">
      <c r="A13" s="1">
        <v>8</v>
      </c>
      <c r="B13" s="119">
        <v>45329</v>
      </c>
      <c r="C13" s="83">
        <f>'25 mg'!D11</f>
        <v>17.316000000000003</v>
      </c>
      <c r="D13" s="83">
        <f>'25 mg'!D29</f>
        <v>12.751999999999999</v>
      </c>
      <c r="E13" s="83">
        <f>'25 mg'!D47</f>
        <v>14.903999999999998</v>
      </c>
      <c r="F13" s="83">
        <f t="shared" si="0"/>
        <v>14.990666666666668</v>
      </c>
      <c r="G13" s="82">
        <f t="shared" si="1"/>
        <v>1.8642527248799214</v>
      </c>
    </row>
    <row r="14" spans="1:7" x14ac:dyDescent="0.3">
      <c r="A14" s="1">
        <v>9</v>
      </c>
      <c r="B14" s="119">
        <v>45330</v>
      </c>
      <c r="C14" s="83">
        <f>'25 mg'!D12</f>
        <v>12.951999999999998</v>
      </c>
      <c r="D14" s="83">
        <f>'25 mg'!D30</f>
        <v>14.48</v>
      </c>
      <c r="E14" s="83">
        <f>'25 mg'!D48</f>
        <v>16.288</v>
      </c>
      <c r="F14" s="83">
        <f t="shared" si="0"/>
        <v>14.573333333333332</v>
      </c>
      <c r="G14" s="82">
        <f t="shared" si="1"/>
        <v>1.3635144134022044</v>
      </c>
    </row>
    <row r="15" spans="1:7" x14ac:dyDescent="0.3">
      <c r="A15" s="1">
        <v>10</v>
      </c>
      <c r="B15" s="119">
        <v>45331</v>
      </c>
      <c r="C15" s="83">
        <f>'25 mg'!D13</f>
        <v>10.696866840731069</v>
      </c>
      <c r="D15" s="83">
        <f>'25 mg'!D31</f>
        <v>9.2422131147540991</v>
      </c>
      <c r="E15" s="83">
        <f>'25 mg'!D49</f>
        <v>9.9775000000000009</v>
      </c>
      <c r="F15" s="83">
        <f t="shared" si="0"/>
        <v>9.9721933184950569</v>
      </c>
      <c r="G15" s="82">
        <f t="shared" si="1"/>
        <v>0.59387175174225193</v>
      </c>
    </row>
    <row r="16" spans="1:7" x14ac:dyDescent="0.3">
      <c r="D16" s="83"/>
    </row>
    <row r="17" spans="1:7" x14ac:dyDescent="0.3">
      <c r="A17" s="85" t="s">
        <v>160</v>
      </c>
    </row>
    <row r="18" spans="1:7" x14ac:dyDescent="0.3">
      <c r="A18" s="85" t="s">
        <v>22</v>
      </c>
      <c r="B18" s="118" t="s">
        <v>23</v>
      </c>
      <c r="C18" s="85" t="s">
        <v>21</v>
      </c>
      <c r="D18" s="85" t="s">
        <v>26</v>
      </c>
      <c r="E18" s="85" t="s">
        <v>159</v>
      </c>
      <c r="F18" s="85" t="s">
        <v>6</v>
      </c>
      <c r="G18" s="85" t="s">
        <v>7</v>
      </c>
    </row>
    <row r="19" spans="1:7" x14ac:dyDescent="0.3">
      <c r="A19" s="1">
        <v>0</v>
      </c>
      <c r="B19" s="119">
        <v>45321</v>
      </c>
      <c r="C19" s="83">
        <f>'50 mg'!D3</f>
        <v>6.1147368421052644</v>
      </c>
      <c r="D19" s="83">
        <f>'50 mg'!D21</f>
        <v>6.1167251461988306</v>
      </c>
      <c r="E19" s="83">
        <f>'50 mg'!D39</f>
        <v>6.114502923976608</v>
      </c>
      <c r="F19" s="83">
        <f>AVERAGE(C19:E19)</f>
        <v>6.1153216374269013</v>
      </c>
      <c r="G19" s="82">
        <f>_xlfn.STDEV.P(C19:E19)</f>
        <v>9.9701456939906593E-4</v>
      </c>
    </row>
    <row r="20" spans="1:7" x14ac:dyDescent="0.3">
      <c r="A20" s="1">
        <v>1</v>
      </c>
      <c r="B20" s="119">
        <v>45322</v>
      </c>
      <c r="C20" s="83">
        <f>'50 mg'!D4</f>
        <v>7.34</v>
      </c>
      <c r="D20" s="83">
        <f>'50 mg'!D22</f>
        <v>8.2880000000000003</v>
      </c>
      <c r="E20" s="83">
        <f>'50 mg'!D40</f>
        <v>6.9120000000000008</v>
      </c>
      <c r="F20" s="83">
        <f t="shared" ref="F20:F29" si="2">AVERAGE(C20:E20)</f>
        <v>7.5133333333333328</v>
      </c>
      <c r="G20" s="82">
        <f t="shared" ref="G20:G29" si="3">_xlfn.STDEV.P(C20:E20)</f>
        <v>0.57496511971500386</v>
      </c>
    </row>
    <row r="21" spans="1:7" x14ac:dyDescent="0.3">
      <c r="A21" s="1">
        <v>2</v>
      </c>
      <c r="B21" s="119">
        <v>45323</v>
      </c>
      <c r="C21" s="83">
        <f>'50 mg'!D5</f>
        <v>9.7759999999999998</v>
      </c>
      <c r="D21" s="83">
        <f>'50 mg'!D23</f>
        <v>9.6120000000000001</v>
      </c>
      <c r="E21" s="83">
        <f>'50 mg'!D41</f>
        <v>11.748000000000001</v>
      </c>
      <c r="F21" s="83">
        <f t="shared" si="2"/>
        <v>10.378666666666666</v>
      </c>
      <c r="G21" s="82">
        <f t="shared" si="3"/>
        <v>0.97057691892789033</v>
      </c>
    </row>
    <row r="22" spans="1:7" x14ac:dyDescent="0.3">
      <c r="A22" s="1">
        <v>3</v>
      </c>
      <c r="B22" s="119">
        <v>45324</v>
      </c>
      <c r="C22" s="83">
        <f>'50 mg'!D6</f>
        <v>14.68</v>
      </c>
      <c r="D22" s="83">
        <f>'50 mg'!D24</f>
        <v>12.168000000000001</v>
      </c>
      <c r="E22" s="83">
        <f>'50 mg'!D42</f>
        <v>14.48</v>
      </c>
      <c r="F22" s="83">
        <f t="shared" si="2"/>
        <v>13.776000000000002</v>
      </c>
      <c r="G22" s="82">
        <f t="shared" si="3"/>
        <v>1.1399555546891578</v>
      </c>
    </row>
    <row r="23" spans="1:7" x14ac:dyDescent="0.3">
      <c r="A23" s="1">
        <v>4</v>
      </c>
      <c r="B23" s="119">
        <v>45325</v>
      </c>
      <c r="C23" s="83">
        <f>'50 mg'!D7</f>
        <v>12.58</v>
      </c>
      <c r="D23" s="83">
        <f>'50 mg'!D25</f>
        <v>13.327999999999999</v>
      </c>
      <c r="E23" s="83">
        <f>'50 mg'!D43</f>
        <v>14.015999999999998</v>
      </c>
      <c r="F23" s="83">
        <f t="shared" si="2"/>
        <v>13.308</v>
      </c>
      <c r="G23" s="82">
        <f t="shared" si="3"/>
        <v>0.58641509757736099</v>
      </c>
    </row>
    <row r="24" spans="1:7" x14ac:dyDescent="0.3">
      <c r="A24" s="1">
        <v>5</v>
      </c>
      <c r="B24" s="119">
        <v>45326</v>
      </c>
      <c r="C24" s="83">
        <f>'50 mg'!D8</f>
        <v>13.216000000000001</v>
      </c>
      <c r="D24" s="83">
        <f>'50 mg'!D26</f>
        <v>14.4</v>
      </c>
      <c r="E24" s="83">
        <f>'50 mg'!D44</f>
        <v>15.092000000000001</v>
      </c>
      <c r="F24" s="83">
        <f t="shared" si="2"/>
        <v>14.235999999999999</v>
      </c>
      <c r="G24" s="82">
        <f t="shared" si="3"/>
        <v>0.77460355451460872</v>
      </c>
    </row>
    <row r="25" spans="1:7" x14ac:dyDescent="0.3">
      <c r="A25" s="1">
        <v>6</v>
      </c>
      <c r="B25" s="119">
        <v>45327</v>
      </c>
      <c r="C25" s="83">
        <f>'50 mg'!D9</f>
        <v>26.02</v>
      </c>
      <c r="D25" s="83">
        <f>'50 mg'!D27</f>
        <v>19.963999999999999</v>
      </c>
      <c r="E25" s="83">
        <f>'50 mg'!D45</f>
        <v>21.516000000000002</v>
      </c>
      <c r="F25" s="83">
        <f t="shared" si="2"/>
        <v>22.5</v>
      </c>
      <c r="G25" s="82">
        <f t="shared" si="3"/>
        <v>2.5683945698951116</v>
      </c>
    </row>
    <row r="26" spans="1:7" x14ac:dyDescent="0.3">
      <c r="A26" s="1">
        <v>7</v>
      </c>
      <c r="B26" s="119">
        <v>45328</v>
      </c>
      <c r="C26" s="83">
        <f>'50 mg'!D10</f>
        <v>27.155999999999999</v>
      </c>
      <c r="D26" s="83">
        <f>'50 mg'!D28</f>
        <v>27.063999999999997</v>
      </c>
      <c r="E26" s="83">
        <f>'50 mg'!D46</f>
        <v>28.852000000000004</v>
      </c>
      <c r="F26" s="83">
        <f t="shared" si="2"/>
        <v>27.690666666666669</v>
      </c>
      <c r="G26" s="82">
        <f t="shared" si="3"/>
        <v>0.82204514609735824</v>
      </c>
    </row>
    <row r="27" spans="1:7" x14ac:dyDescent="0.3">
      <c r="A27" s="1">
        <v>8</v>
      </c>
      <c r="B27" s="119">
        <v>45329</v>
      </c>
      <c r="C27" s="83">
        <f>'50 mg'!D11</f>
        <v>30.788000000000004</v>
      </c>
      <c r="D27" s="83">
        <f>'50 mg'!D29</f>
        <v>33.812000000000005</v>
      </c>
      <c r="E27" s="83">
        <f>'50 mg'!D47</f>
        <v>31.392000000000003</v>
      </c>
      <c r="F27" s="83">
        <f t="shared" si="2"/>
        <v>31.997333333333341</v>
      </c>
      <c r="G27" s="82">
        <f t="shared" si="3"/>
        <v>1.3066408160708221</v>
      </c>
    </row>
    <row r="28" spans="1:7" x14ac:dyDescent="0.3">
      <c r="A28" s="1">
        <v>9</v>
      </c>
      <c r="B28" s="119">
        <v>45330</v>
      </c>
      <c r="C28" s="83">
        <f>'50 mg'!D12</f>
        <v>29.296000000000003</v>
      </c>
      <c r="D28" s="83">
        <f>'50 mg'!D30</f>
        <v>25.788</v>
      </c>
      <c r="E28" s="83">
        <f>'50 mg'!D48</f>
        <v>38.704000000000001</v>
      </c>
      <c r="F28" s="83">
        <f t="shared" si="2"/>
        <v>31.262666666666671</v>
      </c>
      <c r="G28" s="82">
        <f t="shared" si="3"/>
        <v>5.4532312948888944</v>
      </c>
    </row>
    <row r="29" spans="1:7" x14ac:dyDescent="0.3">
      <c r="A29" s="1">
        <v>10</v>
      </c>
      <c r="B29" s="119">
        <v>45331</v>
      </c>
      <c r="C29" s="83">
        <f>'50 mg'!D13</f>
        <v>21.555578093306284</v>
      </c>
      <c r="D29" s="83">
        <f>'50 mg'!D31</f>
        <v>21.175178997613365</v>
      </c>
      <c r="E29" s="83">
        <f>'50 mg'!D49</f>
        <v>21.885651214128035</v>
      </c>
      <c r="F29" s="83">
        <f t="shared" si="2"/>
        <v>21.538802768349228</v>
      </c>
      <c r="G29" s="82">
        <f t="shared" si="3"/>
        <v>0.29029152158405441</v>
      </c>
    </row>
    <row r="31" spans="1:7" x14ac:dyDescent="0.3">
      <c r="A31" s="85" t="s">
        <v>161</v>
      </c>
    </row>
    <row r="32" spans="1:7" x14ac:dyDescent="0.3">
      <c r="A32" s="85" t="s">
        <v>22</v>
      </c>
      <c r="B32" s="118" t="s">
        <v>23</v>
      </c>
      <c r="C32" s="85" t="s">
        <v>21</v>
      </c>
      <c r="D32" s="85" t="s">
        <v>26</v>
      </c>
      <c r="E32" s="85" t="s">
        <v>159</v>
      </c>
      <c r="F32" s="85" t="s">
        <v>6</v>
      </c>
      <c r="G32" s="85" t="s">
        <v>7</v>
      </c>
    </row>
    <row r="33" spans="1:7" x14ac:dyDescent="0.3">
      <c r="A33" s="1">
        <v>0</v>
      </c>
      <c r="B33" s="119">
        <v>45321</v>
      </c>
      <c r="C33" s="83">
        <f>'100 mg'!D3</f>
        <v>6.1149707602339181</v>
      </c>
      <c r="D33" s="83">
        <f>'100 mg'!D21</f>
        <v>6.1126315789473686</v>
      </c>
      <c r="E33" s="83">
        <f>'100 mg'!D39</f>
        <v>6.1128654970760232</v>
      </c>
      <c r="F33" s="83">
        <f>AVERAGE(C33:E33)</f>
        <v>6.1134892787524366</v>
      </c>
      <c r="G33" s="82">
        <f>_xlfn.STDEV.P(C33:E33)</f>
        <v>1.0519093616554601E-3</v>
      </c>
    </row>
    <row r="34" spans="1:7" x14ac:dyDescent="0.3">
      <c r="A34" s="1">
        <v>1</v>
      </c>
      <c r="B34" s="119">
        <v>45322</v>
      </c>
      <c r="C34" s="83">
        <f>'100 mg'!D4</f>
        <v>8.5960000000000001</v>
      </c>
      <c r="D34" s="83">
        <f>'100 mg'!D22</f>
        <v>7.5039999999999996</v>
      </c>
      <c r="E34" s="83">
        <f>'100 mg'!D40</f>
        <v>6.4119999999999999</v>
      </c>
      <c r="F34" s="83">
        <f t="shared" ref="F34:F43" si="4">AVERAGE(C34:E34)</f>
        <v>7.5040000000000004</v>
      </c>
      <c r="G34" s="82">
        <f t="shared" ref="G34:G43" si="5">_xlfn.STDEV.P(C34:E34)</f>
        <v>0.89161426637307717</v>
      </c>
    </row>
    <row r="35" spans="1:7" x14ac:dyDescent="0.3">
      <c r="A35" s="1">
        <v>2</v>
      </c>
      <c r="B35" s="119">
        <v>45323</v>
      </c>
      <c r="C35" s="83">
        <f>'100 mg'!D5</f>
        <v>9.84</v>
      </c>
      <c r="D35" s="83">
        <f>'100 mg'!D23</f>
        <v>8.9440000000000008</v>
      </c>
      <c r="E35" s="83">
        <f>'100 mg'!D41</f>
        <v>10.287999999999998</v>
      </c>
      <c r="F35" s="83">
        <f t="shared" si="4"/>
        <v>9.6906666666666652</v>
      </c>
      <c r="G35" s="82">
        <f t="shared" si="5"/>
        <v>0.55875416975824088</v>
      </c>
    </row>
    <row r="36" spans="1:7" x14ac:dyDescent="0.3">
      <c r="A36" s="1">
        <v>3</v>
      </c>
      <c r="B36" s="119">
        <v>45324</v>
      </c>
      <c r="C36" s="83">
        <f>'100 mg'!D6</f>
        <v>15.144</v>
      </c>
      <c r="D36" s="83">
        <f>'100 mg'!D24</f>
        <v>12.732000000000001</v>
      </c>
      <c r="E36" s="83">
        <f>'100 mg'!D42</f>
        <v>14.972000000000001</v>
      </c>
      <c r="F36" s="83">
        <f t="shared" si="4"/>
        <v>14.282666666666666</v>
      </c>
      <c r="G36" s="82">
        <f t="shared" si="5"/>
        <v>1.0987330077057946</v>
      </c>
    </row>
    <row r="37" spans="1:7" x14ac:dyDescent="0.3">
      <c r="A37" s="1">
        <v>4</v>
      </c>
      <c r="B37" s="119">
        <v>45325</v>
      </c>
      <c r="C37" s="83">
        <f>'100 mg'!D7</f>
        <v>15.751999999999999</v>
      </c>
      <c r="D37" s="83">
        <f>'100 mg'!D25</f>
        <v>13.895999999999999</v>
      </c>
      <c r="E37" s="83">
        <f>'100 mg'!D43</f>
        <v>15.491999999999999</v>
      </c>
      <c r="F37" s="83">
        <f t="shared" si="4"/>
        <v>15.046666666666665</v>
      </c>
      <c r="G37" s="82">
        <f t="shared" si="5"/>
        <v>0.82053857651883466</v>
      </c>
    </row>
    <row r="38" spans="1:7" x14ac:dyDescent="0.3">
      <c r="A38" s="1">
        <v>5</v>
      </c>
      <c r="B38" s="119">
        <v>45326</v>
      </c>
      <c r="C38" s="83">
        <f>'100 mg'!D8</f>
        <v>18.844000000000001</v>
      </c>
      <c r="D38" s="83">
        <f>'100 mg'!D26</f>
        <v>16.191999999999997</v>
      </c>
      <c r="E38" s="83">
        <f>'100 mg'!D44</f>
        <v>19.36</v>
      </c>
      <c r="F38" s="83">
        <f t="shared" si="4"/>
        <v>18.132000000000001</v>
      </c>
      <c r="G38" s="82">
        <f t="shared" si="5"/>
        <v>1.3878674288274095</v>
      </c>
    </row>
    <row r="39" spans="1:7" x14ac:dyDescent="0.3">
      <c r="A39" s="1">
        <v>6</v>
      </c>
      <c r="B39" s="119">
        <v>45327</v>
      </c>
      <c r="C39" s="83">
        <f>'100 mg'!D9</f>
        <v>29.007999999999999</v>
      </c>
      <c r="D39" s="83">
        <f>'100 mg'!D27</f>
        <v>21.852</v>
      </c>
      <c r="E39" s="83">
        <f>'100 mg'!D45</f>
        <v>33.204000000000001</v>
      </c>
      <c r="F39" s="83">
        <f t="shared" si="4"/>
        <v>28.021333333333331</v>
      </c>
      <c r="G39" s="82">
        <f t="shared" si="5"/>
        <v>4.6866554765158011</v>
      </c>
    </row>
    <row r="40" spans="1:7" x14ac:dyDescent="0.3">
      <c r="A40" s="1">
        <v>7</v>
      </c>
      <c r="B40" s="119">
        <v>45328</v>
      </c>
      <c r="C40" s="83">
        <f>'100 mg'!D10</f>
        <v>53.108000000000004</v>
      </c>
      <c r="D40" s="83">
        <f>'100 mg'!D28</f>
        <v>47.96</v>
      </c>
      <c r="E40" s="83">
        <f>'100 mg'!D46</f>
        <v>56.744</v>
      </c>
      <c r="F40" s="83">
        <f t="shared" si="4"/>
        <v>52.604000000000006</v>
      </c>
      <c r="G40" s="82">
        <f t="shared" si="5"/>
        <v>3.6037180799835049</v>
      </c>
    </row>
    <row r="41" spans="1:7" x14ac:dyDescent="0.3">
      <c r="A41" s="1">
        <v>8</v>
      </c>
      <c r="B41" s="119">
        <v>45329</v>
      </c>
      <c r="C41" s="83">
        <f>'100 mg'!D11</f>
        <v>69.424000000000007</v>
      </c>
      <c r="D41" s="83">
        <f>'100 mg'!D29</f>
        <v>74.088000000000008</v>
      </c>
      <c r="E41" s="83">
        <f>'100 mg'!D47</f>
        <v>69.171999999999997</v>
      </c>
      <c r="F41" s="83">
        <f t="shared" si="4"/>
        <v>70.894666666666666</v>
      </c>
      <c r="G41" s="82">
        <f t="shared" si="5"/>
        <v>2.2603700778609026</v>
      </c>
    </row>
    <row r="42" spans="1:7" x14ac:dyDescent="0.3">
      <c r="A42" s="1">
        <v>9</v>
      </c>
      <c r="B42" s="119">
        <v>45330</v>
      </c>
      <c r="C42" s="83">
        <f>'100 mg'!D12</f>
        <v>59.295999999999992</v>
      </c>
      <c r="D42" s="83">
        <f>'100 mg'!D30</f>
        <v>65.207999999999998</v>
      </c>
      <c r="E42" s="83">
        <f>'100 mg'!D48</f>
        <v>73.23599999999999</v>
      </c>
      <c r="F42" s="83">
        <f t="shared" si="4"/>
        <v>65.913333333333327</v>
      </c>
      <c r="G42" s="82">
        <f t="shared" si="5"/>
        <v>5.7127939068569775</v>
      </c>
    </row>
    <row r="43" spans="1:7" x14ac:dyDescent="0.3">
      <c r="A43" s="1">
        <v>10</v>
      </c>
      <c r="B43" s="119">
        <v>45331</v>
      </c>
      <c r="C43" s="83">
        <f>'100 mg'!D13</f>
        <v>46.019312436804853</v>
      </c>
      <c r="D43" s="83">
        <f>'100 mg'!D31</f>
        <v>45.071668667466987</v>
      </c>
      <c r="E43" s="83">
        <f>'100 mg'!D49</f>
        <v>57.427944862155393</v>
      </c>
      <c r="F43" s="83">
        <f t="shared" si="4"/>
        <v>49.506308655475742</v>
      </c>
      <c r="G43" s="82">
        <f t="shared" si="5"/>
        <v>5.6147868657457058</v>
      </c>
    </row>
    <row r="45" spans="1:7" x14ac:dyDescent="0.3">
      <c r="A45" s="85" t="s">
        <v>162</v>
      </c>
    </row>
    <row r="46" spans="1:7" x14ac:dyDescent="0.3">
      <c r="A46" s="85" t="s">
        <v>22</v>
      </c>
      <c r="B46" s="118" t="s">
        <v>23</v>
      </c>
      <c r="C46" s="85" t="s">
        <v>21</v>
      </c>
      <c r="D46" s="85" t="s">
        <v>26</v>
      </c>
      <c r="E46" s="85" t="s">
        <v>159</v>
      </c>
      <c r="F46" s="85" t="s">
        <v>6</v>
      </c>
      <c r="G46" s="85" t="s">
        <v>7</v>
      </c>
    </row>
    <row r="47" spans="1:7" x14ac:dyDescent="0.3">
      <c r="A47" s="1">
        <v>0</v>
      </c>
      <c r="B47" s="119">
        <v>45321</v>
      </c>
      <c r="C47" s="83">
        <f>'150 mg'!D3</f>
        <v>6.1123976608187132</v>
      </c>
      <c r="D47" s="83">
        <f>'150 mg'!D21</f>
        <v>6.1157894736842104</v>
      </c>
      <c r="E47" s="83">
        <f>'150 mg'!D39</f>
        <v>6.1123976608187132</v>
      </c>
      <c r="F47" s="83">
        <f>AVERAGE(C47:E47)</f>
        <v>6.1135282651072131</v>
      </c>
      <c r="G47" s="82">
        <f>_xlfn.STDEV.P(C47:E47)</f>
        <v>1.5989159184726009E-3</v>
      </c>
    </row>
    <row r="48" spans="1:7" x14ac:dyDescent="0.3">
      <c r="A48" s="1">
        <v>1</v>
      </c>
      <c r="B48" s="119">
        <v>45322</v>
      </c>
      <c r="C48" s="83">
        <f>'150 mg'!D4</f>
        <v>8.7360000000000007</v>
      </c>
      <c r="D48" s="83">
        <f>'150 mg'!D22</f>
        <v>8.2080000000000002</v>
      </c>
      <c r="E48" s="83">
        <f>'150 mg'!D40</f>
        <v>7.5880000000000001</v>
      </c>
      <c r="F48" s="83">
        <f t="shared" ref="F48:F57" si="6">AVERAGE(C48:E48)</f>
        <v>8.1773333333333351</v>
      </c>
      <c r="G48" s="82">
        <f t="shared" ref="G48:G57" si="7">_xlfn.STDEV.P(C48:E48)</f>
        <v>0.46917042627268091</v>
      </c>
    </row>
    <row r="49" spans="1:7" x14ac:dyDescent="0.3">
      <c r="A49" s="1">
        <v>2</v>
      </c>
      <c r="B49" s="119">
        <v>45323</v>
      </c>
      <c r="C49" s="83">
        <f>'150 mg'!D5</f>
        <v>10.928000000000001</v>
      </c>
      <c r="D49" s="83">
        <f>'150 mg'!D23</f>
        <v>11.032</v>
      </c>
      <c r="E49" s="83">
        <f>'150 mg'!D41</f>
        <v>11.108000000000001</v>
      </c>
      <c r="F49" s="83">
        <f t="shared" si="6"/>
        <v>11.022666666666666</v>
      </c>
      <c r="G49" s="82">
        <f t="shared" si="7"/>
        <v>7.378045510537011E-2</v>
      </c>
    </row>
    <row r="50" spans="1:7" x14ac:dyDescent="0.3">
      <c r="A50" s="1">
        <v>3</v>
      </c>
      <c r="B50" s="119">
        <v>45324</v>
      </c>
      <c r="C50" s="83">
        <f>'150 mg'!D6</f>
        <v>17.408000000000001</v>
      </c>
      <c r="D50" s="83">
        <f>'150 mg'!D24</f>
        <v>16.443999999999999</v>
      </c>
      <c r="E50" s="83">
        <f>'150 mg'!D42</f>
        <v>13.808000000000002</v>
      </c>
      <c r="F50" s="83">
        <f t="shared" si="6"/>
        <v>15.886666666666668</v>
      </c>
      <c r="G50" s="82">
        <f t="shared" si="7"/>
        <v>1.5216143474028565</v>
      </c>
    </row>
    <row r="51" spans="1:7" x14ac:dyDescent="0.3">
      <c r="A51" s="1">
        <v>4</v>
      </c>
      <c r="B51" s="119">
        <v>45325</v>
      </c>
      <c r="C51" s="83">
        <f>'150 mg'!D7</f>
        <v>14.748000000000001</v>
      </c>
      <c r="D51" s="83">
        <f>'150 mg'!D25</f>
        <v>16.088000000000001</v>
      </c>
      <c r="E51" s="83">
        <f>'150 mg'!D43</f>
        <v>14.847999999999999</v>
      </c>
      <c r="F51" s="83">
        <f t="shared" si="6"/>
        <v>15.228</v>
      </c>
      <c r="G51" s="82">
        <f t="shared" si="7"/>
        <v>0.6094806532341015</v>
      </c>
    </row>
    <row r="52" spans="1:7" x14ac:dyDescent="0.3">
      <c r="A52" s="1">
        <v>5</v>
      </c>
      <c r="B52" s="119">
        <v>45326</v>
      </c>
      <c r="C52" s="83">
        <f>'150 mg'!D8</f>
        <v>21.336000000000002</v>
      </c>
      <c r="D52" s="83">
        <f>'150 mg'!D26</f>
        <v>23.272000000000002</v>
      </c>
      <c r="E52" s="83">
        <f>'150 mg'!D44</f>
        <v>22.844000000000005</v>
      </c>
      <c r="F52" s="83">
        <f t="shared" si="6"/>
        <v>22.484000000000005</v>
      </c>
      <c r="G52" s="82">
        <f t="shared" si="7"/>
        <v>0.83035092982826675</v>
      </c>
    </row>
    <row r="53" spans="1:7" x14ac:dyDescent="0.3">
      <c r="A53" s="1">
        <v>6</v>
      </c>
      <c r="B53" s="119">
        <v>45327</v>
      </c>
      <c r="C53" s="83">
        <f>'150 mg'!D9</f>
        <v>51.591999999999999</v>
      </c>
      <c r="D53" s="83">
        <f>'150 mg'!D27</f>
        <v>43.852000000000004</v>
      </c>
      <c r="E53" s="83">
        <f>'150 mg'!D45</f>
        <v>51.668000000000006</v>
      </c>
      <c r="F53" s="83">
        <f t="shared" si="6"/>
        <v>49.037333333333343</v>
      </c>
      <c r="G53" s="82">
        <f t="shared" si="7"/>
        <v>3.6667156360366358</v>
      </c>
    </row>
    <row r="54" spans="1:7" x14ac:dyDescent="0.3">
      <c r="A54" s="1">
        <v>7</v>
      </c>
      <c r="B54" s="119">
        <v>45328</v>
      </c>
      <c r="C54" s="83">
        <f>'150 mg'!D10</f>
        <v>57.868000000000002</v>
      </c>
      <c r="D54" s="83">
        <f>'150 mg'!D28</f>
        <v>66.131999999999991</v>
      </c>
      <c r="E54" s="83">
        <f>'150 mg'!D46</f>
        <v>86.727999999999994</v>
      </c>
      <c r="F54" s="83">
        <f t="shared" si="6"/>
        <v>70.242666666666665</v>
      </c>
      <c r="G54" s="82">
        <f t="shared" si="7"/>
        <v>12.135295226001762</v>
      </c>
    </row>
    <row r="55" spans="1:7" x14ac:dyDescent="0.3">
      <c r="A55" s="1">
        <v>8</v>
      </c>
      <c r="B55" s="119">
        <v>45329</v>
      </c>
      <c r="C55" s="83">
        <f>'150 mg'!D11</f>
        <v>71.24799999999999</v>
      </c>
      <c r="D55" s="83">
        <f>'150 mg'!D29</f>
        <v>55.852000000000004</v>
      </c>
      <c r="E55" s="83">
        <f>'150 mg'!D47</f>
        <v>78.084000000000003</v>
      </c>
      <c r="F55" s="83">
        <f t="shared" si="6"/>
        <v>68.394666666666666</v>
      </c>
      <c r="G55" s="82">
        <f t="shared" si="7"/>
        <v>9.2977269384631018</v>
      </c>
    </row>
    <row r="56" spans="1:7" x14ac:dyDescent="0.3">
      <c r="A56" s="1">
        <v>9</v>
      </c>
      <c r="B56" s="119">
        <v>45330</v>
      </c>
      <c r="C56" s="83">
        <f>'150 mg'!D12</f>
        <v>88.536000000000001</v>
      </c>
      <c r="D56" s="83">
        <f>'150 mg'!D30</f>
        <v>69.695999999999998</v>
      </c>
      <c r="E56" s="83">
        <f>'150 mg'!D48</f>
        <v>72.903999999999996</v>
      </c>
      <c r="F56" s="83">
        <f t="shared" si="6"/>
        <v>77.045333333333332</v>
      </c>
      <c r="G56" s="82">
        <f t="shared" si="7"/>
        <v>8.2300012690697049</v>
      </c>
    </row>
    <row r="57" spans="1:7" x14ac:dyDescent="0.3">
      <c r="A57" s="1">
        <v>10</v>
      </c>
      <c r="B57" s="119">
        <v>45331</v>
      </c>
      <c r="C57" s="83">
        <f>'150 mg'!D13</f>
        <v>68.902417302798995</v>
      </c>
      <c r="D57" s="83">
        <f>'150 mg'!D31</f>
        <v>80.723032904148781</v>
      </c>
      <c r="E57" s="83">
        <f>'150 mg'!D49</f>
        <v>69.504761904761907</v>
      </c>
      <c r="F57" s="83">
        <f t="shared" si="6"/>
        <v>73.043404037236556</v>
      </c>
      <c r="G57" s="82">
        <f t="shared" si="7"/>
        <v>5.4358825965376933</v>
      </c>
    </row>
    <row r="59" spans="1:7" x14ac:dyDescent="0.3">
      <c r="A59" s="85" t="s">
        <v>163</v>
      </c>
    </row>
    <row r="60" spans="1:7" x14ac:dyDescent="0.3">
      <c r="A60" s="85" t="s">
        <v>22</v>
      </c>
      <c r="B60" s="118" t="s">
        <v>23</v>
      </c>
      <c r="C60" s="85" t="s">
        <v>21</v>
      </c>
      <c r="D60" s="85" t="s">
        <v>26</v>
      </c>
      <c r="E60" s="85" t="s">
        <v>159</v>
      </c>
      <c r="F60" s="85" t="s">
        <v>6</v>
      </c>
      <c r="G60" s="85" t="s">
        <v>7</v>
      </c>
    </row>
    <row r="61" spans="1:7" x14ac:dyDescent="0.3">
      <c r="A61" s="1">
        <v>0</v>
      </c>
      <c r="B61" s="119">
        <v>45321</v>
      </c>
      <c r="C61" s="83">
        <f>'200 mg'!D3</f>
        <v>6.1133333333333324</v>
      </c>
      <c r="D61" s="83">
        <f>'200 mg'!D21</f>
        <v>6.1120467836257308</v>
      </c>
      <c r="E61" s="83">
        <f>'200 mg'!D39</f>
        <v>6.1132163742690055</v>
      </c>
      <c r="F61" s="83">
        <f>AVERAGE(C61:E61)</f>
        <v>6.1128654970760223</v>
      </c>
      <c r="G61" s="82">
        <f>_xlfn.STDEV.P(C61:E61)</f>
        <v>5.8088360334289358E-4</v>
      </c>
    </row>
    <row r="62" spans="1:7" x14ac:dyDescent="0.3">
      <c r="A62" s="1">
        <v>1</v>
      </c>
      <c r="B62" s="119">
        <v>45322</v>
      </c>
      <c r="C62" s="83">
        <f>'200 mg'!D4</f>
        <v>7.2040000000000006</v>
      </c>
      <c r="D62" s="83">
        <f>'200 mg'!D22</f>
        <v>6.6840000000000002</v>
      </c>
      <c r="E62" s="83">
        <f>'200 mg'!D40</f>
        <v>6.9840000000000009</v>
      </c>
      <c r="F62" s="83">
        <f t="shared" ref="F62:F71" si="8">AVERAGE(C62:E62)</f>
        <v>6.9573333333333345</v>
      </c>
      <c r="G62" s="82">
        <f t="shared" ref="G62:G71" si="9">_xlfn.STDEV.P(C62:E62)</f>
        <v>0.21312489817527727</v>
      </c>
    </row>
    <row r="63" spans="1:7" x14ac:dyDescent="0.3">
      <c r="A63" s="1">
        <v>2</v>
      </c>
      <c r="B63" s="119">
        <v>45323</v>
      </c>
      <c r="C63" s="83">
        <f>'200 mg'!D5</f>
        <v>11.14</v>
      </c>
      <c r="D63" s="83">
        <f>'200 mg'!D23</f>
        <v>9.7759999999999998</v>
      </c>
      <c r="E63" s="83">
        <f>'200 mg'!D41</f>
        <v>10.831999999999999</v>
      </c>
      <c r="F63" s="83">
        <f t="shared" si="8"/>
        <v>10.582666666666666</v>
      </c>
      <c r="G63" s="82">
        <f t="shared" si="9"/>
        <v>0.58409436071770315</v>
      </c>
    </row>
    <row r="64" spans="1:7" x14ac:dyDescent="0.3">
      <c r="A64" s="1">
        <v>3</v>
      </c>
      <c r="B64" s="119">
        <v>45324</v>
      </c>
      <c r="C64" s="83">
        <f>'200 mg'!D6</f>
        <v>15.780000000000003</v>
      </c>
      <c r="D64" s="83">
        <f>'200 mg'!D24</f>
        <v>16.920000000000002</v>
      </c>
      <c r="E64" s="83">
        <f>'200 mg'!D42</f>
        <v>14.44</v>
      </c>
      <c r="F64" s="83">
        <f t="shared" si="8"/>
        <v>15.713333333333333</v>
      </c>
      <c r="G64" s="82">
        <f t="shared" si="9"/>
        <v>1.0135526078546149</v>
      </c>
    </row>
    <row r="65" spans="1:7" x14ac:dyDescent="0.3">
      <c r="A65" s="1">
        <v>4</v>
      </c>
      <c r="B65" s="119">
        <v>45325</v>
      </c>
      <c r="C65" s="83">
        <f>'200 mg'!D7</f>
        <v>17.22</v>
      </c>
      <c r="D65" s="83">
        <f>'200 mg'!D25</f>
        <v>17.215999999999998</v>
      </c>
      <c r="E65" s="83">
        <f>'200 mg'!D43</f>
        <v>14.996</v>
      </c>
      <c r="F65" s="83">
        <f t="shared" si="8"/>
        <v>16.477333333333331</v>
      </c>
      <c r="G65" s="82">
        <f t="shared" si="9"/>
        <v>1.0474621181163959</v>
      </c>
    </row>
    <row r="66" spans="1:7" x14ac:dyDescent="0.3">
      <c r="A66" s="1">
        <v>5</v>
      </c>
      <c r="B66" s="119">
        <v>45326</v>
      </c>
      <c r="C66" s="83">
        <f>'200 mg'!D8</f>
        <v>19.823999999999998</v>
      </c>
      <c r="D66" s="83">
        <f>'200 mg'!D26</f>
        <v>21.936</v>
      </c>
      <c r="E66" s="83">
        <f>'200 mg'!D44</f>
        <v>20.716000000000001</v>
      </c>
      <c r="F66" s="83">
        <f t="shared" si="8"/>
        <v>20.825333333333333</v>
      </c>
      <c r="G66" s="82">
        <f t="shared" si="9"/>
        <v>0.86567943771865696</v>
      </c>
    </row>
    <row r="67" spans="1:7" x14ac:dyDescent="0.3">
      <c r="A67" s="1">
        <v>6</v>
      </c>
      <c r="B67" s="119">
        <v>45327</v>
      </c>
      <c r="C67" s="83">
        <f>'200 mg'!D9</f>
        <v>40.199999999999996</v>
      </c>
      <c r="D67" s="83">
        <f>'200 mg'!D27</f>
        <v>46.872</v>
      </c>
      <c r="E67" s="83">
        <f>'200 mg'!D45</f>
        <v>41.776000000000003</v>
      </c>
      <c r="F67" s="83">
        <f t="shared" si="8"/>
        <v>42.949333333333335</v>
      </c>
      <c r="G67" s="82">
        <f t="shared" si="9"/>
        <v>2.8473881989562928</v>
      </c>
    </row>
    <row r="68" spans="1:7" x14ac:dyDescent="0.3">
      <c r="A68" s="1">
        <v>7</v>
      </c>
      <c r="B68" s="119">
        <v>45328</v>
      </c>
      <c r="C68" s="83">
        <f>'200 mg'!D10</f>
        <v>76.128</v>
      </c>
      <c r="D68" s="83">
        <f>'200 mg'!D28</f>
        <v>57.244</v>
      </c>
      <c r="E68" s="83">
        <f>'200 mg'!D46</f>
        <v>53.415999999999997</v>
      </c>
      <c r="F68" s="83">
        <f t="shared" si="8"/>
        <v>62.262666666666668</v>
      </c>
      <c r="G68" s="82">
        <f t="shared" si="9"/>
        <v>9.9280410062721902</v>
      </c>
    </row>
    <row r="69" spans="1:7" x14ac:dyDescent="0.3">
      <c r="A69" s="1">
        <v>8</v>
      </c>
      <c r="B69" s="119">
        <v>45329</v>
      </c>
      <c r="C69" s="83">
        <f>'200 mg'!D11</f>
        <v>75.183999999999997</v>
      </c>
      <c r="D69" s="83">
        <f>'200 mg'!D29</f>
        <v>69.132000000000005</v>
      </c>
      <c r="E69" s="83">
        <f>'200 mg'!D47</f>
        <v>77.215999999999994</v>
      </c>
      <c r="F69" s="83">
        <f t="shared" si="8"/>
        <v>73.843999999999994</v>
      </c>
      <c r="G69" s="82">
        <f t="shared" si="9"/>
        <v>3.4336049083531197</v>
      </c>
    </row>
    <row r="70" spans="1:7" x14ac:dyDescent="0.3">
      <c r="A70" s="1">
        <v>9</v>
      </c>
      <c r="B70" s="119">
        <v>45330</v>
      </c>
      <c r="C70" s="83">
        <f>'200 mg'!D12</f>
        <v>91.907999999999987</v>
      </c>
      <c r="D70" s="83">
        <f>'200 mg'!D30</f>
        <v>73.756</v>
      </c>
      <c r="E70" s="83">
        <f>'200 mg'!D48</f>
        <v>64.94</v>
      </c>
      <c r="F70" s="83">
        <f t="shared" si="8"/>
        <v>76.867999999999995</v>
      </c>
      <c r="G70" s="82">
        <f t="shared" si="9"/>
        <v>11.227396967537304</v>
      </c>
    </row>
    <row r="71" spans="1:7" x14ac:dyDescent="0.3">
      <c r="A71" s="1">
        <v>10</v>
      </c>
      <c r="B71" s="119">
        <v>45331</v>
      </c>
      <c r="C71" s="83">
        <f>'200 mg'!D13</f>
        <v>78.207415990729999</v>
      </c>
      <c r="D71" s="83">
        <f>'200 mg'!D31</f>
        <v>77.08485639686684</v>
      </c>
      <c r="E71" s="83">
        <f>'200 mg'!D49</f>
        <v>66.891148325358841</v>
      </c>
      <c r="F71" s="83">
        <f t="shared" si="8"/>
        <v>74.061140237651884</v>
      </c>
      <c r="G71" s="82">
        <f t="shared" si="9"/>
        <v>5.0906203307131035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BB4B9-B49C-455F-8C80-9A0F302008CB}">
  <dimension ref="B3:U73"/>
  <sheetViews>
    <sheetView tabSelected="1" topLeftCell="A43" zoomScale="85" zoomScaleNormal="85" workbookViewId="0">
      <selection activeCell="I59" sqref="I59"/>
    </sheetView>
  </sheetViews>
  <sheetFormatPr baseColWidth="10" defaultRowHeight="14.4" x14ac:dyDescent="0.3"/>
  <cols>
    <col min="1" max="2" width="11.5546875" style="85"/>
    <col min="3" max="3" width="45.5546875" style="85" bestFit="1" customWidth="1"/>
    <col min="4" max="4" width="8.21875" style="85" bestFit="1" customWidth="1"/>
    <col min="5" max="5" width="22.109375" style="85" bestFit="1" customWidth="1"/>
    <col min="6" max="6" width="8.21875" style="85" bestFit="1" customWidth="1"/>
    <col min="7" max="7" width="14.5546875" style="85" bestFit="1" customWidth="1"/>
    <col min="8" max="8" width="8.21875" style="85" bestFit="1" customWidth="1"/>
    <col min="9" max="9" width="14.33203125" style="85" bestFit="1" customWidth="1"/>
    <col min="10" max="10" width="8.21875" style="85" bestFit="1" customWidth="1"/>
    <col min="11" max="16384" width="11.5546875" style="85"/>
  </cols>
  <sheetData>
    <row r="3" spans="2:21" ht="15" thickBot="1" x14ac:dyDescent="0.35">
      <c r="B3" s="85" t="s">
        <v>120</v>
      </c>
    </row>
    <row r="4" spans="2:21" x14ac:dyDescent="0.3">
      <c r="B4" s="104" t="s">
        <v>164</v>
      </c>
      <c r="C4" s="105" t="s">
        <v>134</v>
      </c>
      <c r="D4" s="113" t="s">
        <v>165</v>
      </c>
      <c r="E4" s="21"/>
      <c r="F4" s="21"/>
      <c r="G4" s="21"/>
      <c r="H4" s="21"/>
      <c r="I4" s="21"/>
      <c r="J4" s="21"/>
    </row>
    <row r="5" spans="2:21" x14ac:dyDescent="0.3">
      <c r="B5" s="107" t="s">
        <v>166</v>
      </c>
      <c r="C5" s="108">
        <f>'25 mg'!AI2</f>
        <v>-291.38454308675472</v>
      </c>
      <c r="D5" s="79">
        <f>'25 mg'!AJ2</f>
        <v>370.65219681156395</v>
      </c>
      <c r="E5" s="79"/>
      <c r="F5" s="79"/>
      <c r="G5" s="79"/>
      <c r="H5" s="79"/>
      <c r="I5" s="79"/>
      <c r="J5" s="79"/>
    </row>
    <row r="6" spans="2:21" x14ac:dyDescent="0.3">
      <c r="B6" s="107" t="s">
        <v>167</v>
      </c>
      <c r="C6" s="108">
        <f>'50 mg'!AI2</f>
        <v>13.042439030766452</v>
      </c>
      <c r="D6" s="79">
        <f>'50 mg'!AJ2</f>
        <v>3.9645762620293445</v>
      </c>
      <c r="E6" s="79"/>
      <c r="F6" s="79"/>
      <c r="G6" s="79"/>
      <c r="H6" s="79"/>
      <c r="I6" s="79"/>
      <c r="J6" s="79"/>
    </row>
    <row r="7" spans="2:21" x14ac:dyDescent="0.3">
      <c r="B7" s="107" t="s">
        <v>168</v>
      </c>
      <c r="C7" s="108">
        <f>'100 mg'!AI2</f>
        <v>6.8124486518756049</v>
      </c>
      <c r="D7" s="79">
        <f>'100 mg'!AJ2</f>
        <v>0.94678033552403584</v>
      </c>
      <c r="E7" s="79"/>
      <c r="F7" s="79"/>
      <c r="G7" s="79"/>
      <c r="H7" s="79"/>
      <c r="I7" s="79"/>
      <c r="J7" s="79"/>
    </row>
    <row r="8" spans="2:21" x14ac:dyDescent="0.3">
      <c r="B8" s="107" t="s">
        <v>169</v>
      </c>
      <c r="C8" s="108">
        <f>'150 mg'!AI2</f>
        <v>8.1360655474596619</v>
      </c>
      <c r="D8" s="79">
        <f>'150 mg'!AJ2</f>
        <v>0.30440974118850989</v>
      </c>
      <c r="E8" s="79"/>
      <c r="F8" s="79"/>
      <c r="G8" s="79"/>
      <c r="H8" s="79"/>
      <c r="I8" s="79"/>
      <c r="J8" s="79"/>
      <c r="K8" s="83"/>
      <c r="L8" s="83"/>
      <c r="M8" s="83"/>
      <c r="P8" s="83"/>
      <c r="S8" s="83"/>
      <c r="T8" s="83"/>
      <c r="U8" s="83"/>
    </row>
    <row r="9" spans="2:21" ht="15" thickBot="1" x14ac:dyDescent="0.35">
      <c r="B9" s="110" t="s">
        <v>163</v>
      </c>
      <c r="C9" s="111">
        <f>'200 mg'!AI2</f>
        <v>10.746697037252984</v>
      </c>
      <c r="D9" s="115">
        <f>'200 mg'!AJ2</f>
        <v>0.6729161830068271</v>
      </c>
      <c r="E9" s="79"/>
      <c r="F9" s="79"/>
      <c r="G9" s="79"/>
      <c r="H9" s="79"/>
      <c r="I9" s="79"/>
      <c r="J9" s="79"/>
      <c r="K9" s="83"/>
      <c r="L9" s="83"/>
      <c r="M9" s="83"/>
      <c r="P9" s="83"/>
      <c r="S9" s="83"/>
      <c r="T9" s="83"/>
      <c r="U9" s="83"/>
    </row>
    <row r="11" spans="2:21" ht="15" thickBot="1" x14ac:dyDescent="0.35"/>
    <row r="12" spans="2:21" x14ac:dyDescent="0.3">
      <c r="B12" s="105" t="s">
        <v>164</v>
      </c>
      <c r="C12" s="113" t="s">
        <v>123</v>
      </c>
      <c r="D12" s="106" t="s">
        <v>165</v>
      </c>
    </row>
    <row r="13" spans="2:21" x14ac:dyDescent="0.3">
      <c r="B13" s="20" t="s">
        <v>166</v>
      </c>
      <c r="C13" s="79">
        <f>'25 mg'!AI7</f>
        <v>36.228626733069724</v>
      </c>
      <c r="D13" s="109">
        <f>'25 mg'!AJ7</f>
        <v>7.1625184096848287</v>
      </c>
    </row>
    <row r="14" spans="2:21" x14ac:dyDescent="0.3">
      <c r="B14" s="20" t="s">
        <v>167</v>
      </c>
      <c r="C14" s="79">
        <f>'50 mg'!AI7</f>
        <v>69.815680802274855</v>
      </c>
      <c r="D14" s="109">
        <f>'50 mg'!AJ7</f>
        <v>20.273260544411546</v>
      </c>
    </row>
    <row r="15" spans="2:21" x14ac:dyDescent="0.3">
      <c r="B15" s="20" t="s">
        <v>168</v>
      </c>
      <c r="C15" s="79">
        <f>'100 mg'!AI7</f>
        <v>102.43802102174307</v>
      </c>
      <c r="D15" s="109">
        <f>'100 mg'!AJ7</f>
        <v>9.8964380614293592</v>
      </c>
    </row>
    <row r="16" spans="2:21" x14ac:dyDescent="0.3">
      <c r="B16" s="20" t="s">
        <v>169</v>
      </c>
      <c r="C16" s="79">
        <f>'150 mg'!AI7</f>
        <v>91.483227954170729</v>
      </c>
      <c r="D16" s="109">
        <f>'150 mg'!AJ7</f>
        <v>7.3393131174771806</v>
      </c>
    </row>
    <row r="17" spans="2:4" ht="15" thickBot="1" x14ac:dyDescent="0.35">
      <c r="B17" s="114" t="s">
        <v>163</v>
      </c>
      <c r="C17" s="115">
        <f>'200 mg'!AI7</f>
        <v>96.833786875725693</v>
      </c>
      <c r="D17" s="112">
        <f>'200 mg'!AJ7</f>
        <v>5.3308685116205403</v>
      </c>
    </row>
    <row r="18" spans="2:4" ht="15" thickBot="1" x14ac:dyDescent="0.35"/>
    <row r="19" spans="2:4" x14ac:dyDescent="0.3">
      <c r="B19" s="105" t="s">
        <v>164</v>
      </c>
      <c r="C19" s="113" t="s">
        <v>141</v>
      </c>
      <c r="D19" s="106" t="s">
        <v>165</v>
      </c>
    </row>
    <row r="20" spans="2:4" x14ac:dyDescent="0.3">
      <c r="B20" s="20" t="s">
        <v>166</v>
      </c>
      <c r="C20" s="79">
        <f>'25 mg'!AI12</f>
        <v>34.463707968522307</v>
      </c>
      <c r="D20" s="109">
        <f>'25 mg'!AJ12</f>
        <v>2.3741744399721449</v>
      </c>
    </row>
    <row r="21" spans="2:4" x14ac:dyDescent="0.3">
      <c r="B21" s="20" t="s">
        <v>167</v>
      </c>
      <c r="C21" s="79">
        <f>'50 mg'!AI12</f>
        <v>33.563773943183811</v>
      </c>
      <c r="D21" s="109">
        <f>'50 mg'!AJ12</f>
        <v>1.8320666438267224</v>
      </c>
    </row>
    <row r="22" spans="2:4" x14ac:dyDescent="0.3">
      <c r="B22" s="20" t="s">
        <v>168</v>
      </c>
      <c r="C22" s="79">
        <f>'100 mg'!AI12</f>
        <v>39.944562256008425</v>
      </c>
      <c r="D22" s="109">
        <f>'100 mg'!AJ12</f>
        <v>2.9541084360531249</v>
      </c>
    </row>
    <row r="23" spans="2:4" x14ac:dyDescent="0.3">
      <c r="B23" s="20" t="s">
        <v>169</v>
      </c>
      <c r="C23" s="79">
        <f>'150 mg'!AI12</f>
        <v>43.225228769600882</v>
      </c>
      <c r="D23" s="109">
        <f>'150 mg'!AJ12</f>
        <v>4.5615075535256659</v>
      </c>
    </row>
    <row r="24" spans="2:4" ht="15" thickBot="1" x14ac:dyDescent="0.35">
      <c r="B24" s="114" t="s">
        <v>163</v>
      </c>
      <c r="C24" s="115">
        <f>'200 mg'!AI12</f>
        <v>41.567353213485859</v>
      </c>
      <c r="D24" s="112">
        <f>'200 mg'!AJ12</f>
        <v>2.6201014888830909</v>
      </c>
    </row>
    <row r="25" spans="2:4" ht="15" thickBot="1" x14ac:dyDescent="0.35"/>
    <row r="26" spans="2:4" x14ac:dyDescent="0.3">
      <c r="B26" s="105" t="s">
        <v>164</v>
      </c>
      <c r="C26" s="113" t="s">
        <v>199</v>
      </c>
      <c r="D26" s="106" t="s">
        <v>165</v>
      </c>
    </row>
    <row r="27" spans="2:4" x14ac:dyDescent="0.3">
      <c r="B27" s="20" t="s">
        <v>166</v>
      </c>
      <c r="C27" s="79">
        <f>'25 mg'!AI17</f>
        <v>3.4463707968522308</v>
      </c>
      <c r="D27" s="109">
        <f>'25 mg'!AJ17</f>
        <v>0.23741744399721448</v>
      </c>
    </row>
    <row r="28" spans="2:4" x14ac:dyDescent="0.3">
      <c r="B28" s="20" t="s">
        <v>167</v>
      </c>
      <c r="C28" s="79">
        <f>'50 mg'!AI17</f>
        <v>3.3563773943183812</v>
      </c>
      <c r="D28" s="109">
        <f>'50 mg'!AJ17</f>
        <v>0.18320666438267214</v>
      </c>
    </row>
    <row r="29" spans="2:4" x14ac:dyDescent="0.3">
      <c r="B29" s="20" t="s">
        <v>168</v>
      </c>
      <c r="C29" s="79">
        <f>'100 mg'!AI17</f>
        <v>3.9944562256008425</v>
      </c>
      <c r="D29" s="109">
        <f>'100 mg'!AJ17</f>
        <v>0.29541084360531256</v>
      </c>
    </row>
    <row r="30" spans="2:4" x14ac:dyDescent="0.3">
      <c r="B30" s="20" t="s">
        <v>169</v>
      </c>
      <c r="C30" s="79">
        <f>'150 mg'!AI17</f>
        <v>4.3225228769600879</v>
      </c>
      <c r="D30" s="109">
        <f>'150 mg'!AJ17</f>
        <v>0.45615075535256988</v>
      </c>
    </row>
    <row r="31" spans="2:4" ht="15" thickBot="1" x14ac:dyDescent="0.35">
      <c r="B31" s="114" t="s">
        <v>163</v>
      </c>
      <c r="C31" s="115">
        <f>'200 mg'!AI17</f>
        <v>4.1567353213485863</v>
      </c>
      <c r="D31" s="112">
        <f>'200 mg'!AJ17</f>
        <v>0.26201014888830915</v>
      </c>
    </row>
    <row r="32" spans="2:4" ht="15" thickBot="1" x14ac:dyDescent="0.35"/>
    <row r="33" spans="2:12" x14ac:dyDescent="0.3">
      <c r="B33" s="105" t="s">
        <v>164</v>
      </c>
      <c r="C33" s="116" t="s">
        <v>146</v>
      </c>
      <c r="D33" s="113" t="s">
        <v>165</v>
      </c>
      <c r="E33" s="96"/>
      <c r="F33" s="21"/>
    </row>
    <row r="34" spans="2:12" x14ac:dyDescent="0.3">
      <c r="B34" s="20" t="s">
        <v>166</v>
      </c>
      <c r="C34" s="122">
        <f>'25 mg'!AI22</f>
        <v>1.2064383139288008E-2</v>
      </c>
      <c r="D34" s="79">
        <f>'25 mg'!AJ22</f>
        <v>4.2887933106788095E-2</v>
      </c>
      <c r="E34" s="79"/>
      <c r="F34" s="79"/>
    </row>
    <row r="35" spans="2:12" x14ac:dyDescent="0.3">
      <c r="B35" s="20" t="s">
        <v>167</v>
      </c>
      <c r="C35" s="122">
        <f>'50 mg'!AI22</f>
        <v>0.25265991388219761</v>
      </c>
      <c r="D35" s="79">
        <f>'50 mg'!AJ22</f>
        <v>7.8060611873323152E-2</v>
      </c>
      <c r="E35" s="79"/>
      <c r="F35" s="79"/>
    </row>
    <row r="36" spans="2:12" x14ac:dyDescent="0.3">
      <c r="B36" s="20" t="s">
        <v>168</v>
      </c>
      <c r="C36" s="79">
        <f>'100 mg'!AI22</f>
        <v>0.37355173734006292</v>
      </c>
      <c r="D36" s="79">
        <f>'100 mg'!AJ22</f>
        <v>3.5467931646134834E-2</v>
      </c>
      <c r="E36" s="79"/>
      <c r="F36" s="79"/>
      <c r="G36" s="79"/>
    </row>
    <row r="37" spans="2:12" x14ac:dyDescent="0.3">
      <c r="B37" s="20" t="s">
        <v>169</v>
      </c>
      <c r="C37" s="79">
        <f>'150 mg'!AI22</f>
        <v>0.28720061513546541</v>
      </c>
      <c r="D37" s="79">
        <f>'150 mg'!AJ22</f>
        <v>2.4965435339471403E-2</v>
      </c>
      <c r="E37" s="79"/>
      <c r="F37" s="79"/>
      <c r="G37" s="79"/>
    </row>
    <row r="38" spans="2:12" ht="15" thickBot="1" x14ac:dyDescent="0.35">
      <c r="B38" s="114" t="s">
        <v>163</v>
      </c>
      <c r="C38" s="115">
        <f>'200 mg'!AI22</f>
        <v>0.22495342836645071</v>
      </c>
      <c r="D38" s="115">
        <f>'200 mg'!AJ22</f>
        <v>9.0831439531572009E-3</v>
      </c>
      <c r="E38" s="79"/>
      <c r="F38" s="79"/>
      <c r="G38" s="79"/>
    </row>
    <row r="39" spans="2:12" ht="15" thickBot="1" x14ac:dyDescent="0.35">
      <c r="E39" s="21"/>
      <c r="F39" s="21"/>
      <c r="G39" s="79"/>
    </row>
    <row r="40" spans="2:12" x14ac:dyDescent="0.3">
      <c r="B40" s="105" t="s">
        <v>164</v>
      </c>
      <c r="C40" s="117" t="s">
        <v>170</v>
      </c>
      <c r="D40" s="113" t="s">
        <v>165</v>
      </c>
      <c r="E40" s="79"/>
      <c r="F40" s="21"/>
      <c r="I40" s="21"/>
      <c r="J40" s="21"/>
      <c r="K40" s="21"/>
      <c r="L40" s="21"/>
    </row>
    <row r="41" spans="2:12" x14ac:dyDescent="0.3">
      <c r="B41" s="20" t="s">
        <v>166</v>
      </c>
      <c r="C41" s="79">
        <f>'25 mg'!AI27</f>
        <v>1.0960476313021675E-2</v>
      </c>
      <c r="D41" s="79">
        <f>'25 mg'!AJ27</f>
        <v>3.2898835265627528E-2</v>
      </c>
      <c r="E41" s="79"/>
      <c r="F41" s="79"/>
      <c r="I41" s="21"/>
      <c r="J41" s="21"/>
      <c r="K41" s="21"/>
      <c r="L41" s="21"/>
    </row>
    <row r="42" spans="2:12" x14ac:dyDescent="0.3">
      <c r="B42" s="20" t="s">
        <v>167</v>
      </c>
      <c r="C42" s="79">
        <f>'50 mg'!AI27</f>
        <v>0.36862912487795346</v>
      </c>
      <c r="D42" s="79">
        <f>'50 mg'!AJ27</f>
        <v>0.13571783980837224</v>
      </c>
      <c r="E42" s="79"/>
      <c r="F42" s="79"/>
      <c r="I42" s="21"/>
      <c r="J42" s="79"/>
      <c r="K42" s="79"/>
      <c r="L42" s="21"/>
    </row>
    <row r="43" spans="2:12" x14ac:dyDescent="0.3">
      <c r="B43" s="20" t="s">
        <v>168</v>
      </c>
      <c r="C43" s="79">
        <f>'100 mg'!AI27</f>
        <v>1.2778897261772286</v>
      </c>
      <c r="D43" s="79">
        <f>'100 mg'!AJ27</f>
        <v>0.16450545353515239</v>
      </c>
      <c r="E43" s="79"/>
      <c r="F43" s="79"/>
      <c r="I43" s="21"/>
      <c r="J43" s="79"/>
      <c r="K43" s="79"/>
      <c r="L43" s="21"/>
    </row>
    <row r="44" spans="2:12" x14ac:dyDescent="0.3">
      <c r="B44" s="20" t="s">
        <v>169</v>
      </c>
      <c r="C44" s="79">
        <f>'150 mg'!AI27</f>
        <v>1.5784686439335165</v>
      </c>
      <c r="D44" s="79">
        <f>'150 mg'!AJ27</f>
        <v>5.77224086407509E-2</v>
      </c>
      <c r="E44" s="79"/>
      <c r="F44" s="79"/>
      <c r="I44" s="21"/>
      <c r="J44" s="79"/>
      <c r="K44" s="79"/>
      <c r="L44" s="21"/>
    </row>
    <row r="45" spans="2:12" ht="15" thickBot="1" x14ac:dyDescent="0.35">
      <c r="B45" s="114" t="s">
        <v>163</v>
      </c>
      <c r="C45" s="115">
        <f>'200 mg'!AI27</f>
        <v>1.5977308819543701</v>
      </c>
      <c r="D45" s="115">
        <f>'200 mg'!AJ27</f>
        <v>0.10438676004059591</v>
      </c>
      <c r="E45" s="79"/>
      <c r="F45" s="79"/>
      <c r="I45" s="21"/>
      <c r="J45" s="79"/>
      <c r="K45" s="79"/>
      <c r="L45" s="21"/>
    </row>
    <row r="46" spans="2:12" ht="15" thickBot="1" x14ac:dyDescent="0.35">
      <c r="I46" s="21"/>
      <c r="J46" s="79"/>
      <c r="K46" s="79"/>
      <c r="L46" s="21"/>
    </row>
    <row r="47" spans="2:12" x14ac:dyDescent="0.3">
      <c r="B47" s="105" t="s">
        <v>164</v>
      </c>
      <c r="C47" s="117" t="s">
        <v>179</v>
      </c>
      <c r="D47" s="106" t="s">
        <v>165</v>
      </c>
    </row>
    <row r="48" spans="2:12" x14ac:dyDescent="0.3">
      <c r="B48" s="20" t="s">
        <v>166</v>
      </c>
      <c r="C48" s="79">
        <f>'25 mg'!AI32</f>
        <v>0.10960476313021676</v>
      </c>
      <c r="D48" s="109">
        <f>'[1]25 mg'!AJ34</f>
        <v>-1.8777919999999337E-3</v>
      </c>
    </row>
    <row r="49" spans="2:4" x14ac:dyDescent="0.3">
      <c r="B49" s="20" t="s">
        <v>167</v>
      </c>
      <c r="C49" s="79">
        <f>'50 mg'!AI32</f>
        <v>3.686291248779535</v>
      </c>
      <c r="D49" s="109">
        <f>'[1]50 mg'!AJ34</f>
        <v>1.2503697133333329</v>
      </c>
    </row>
    <row r="50" spans="2:4" x14ac:dyDescent="0.3">
      <c r="B50" s="20" t="s">
        <v>168</v>
      </c>
      <c r="C50" s="79">
        <f>'100 mg'!AI32</f>
        <v>12.778897261772286</v>
      </c>
      <c r="D50" s="109">
        <f>'[1]100 mg'!AJ34</f>
        <v>2.6061703682666675</v>
      </c>
    </row>
    <row r="51" spans="2:4" x14ac:dyDescent="0.3">
      <c r="B51" s="20" t="s">
        <v>169</v>
      </c>
      <c r="C51" s="79">
        <f>'150 mg'!AI32</f>
        <v>15.784686439335166</v>
      </c>
      <c r="D51" s="109">
        <f>'[1]150 mg'!AJ34</f>
        <v>2.1653009533333334</v>
      </c>
    </row>
    <row r="52" spans="2:4" ht="15" thickBot="1" x14ac:dyDescent="0.35">
      <c r="B52" s="114" t="s">
        <v>163</v>
      </c>
      <c r="C52" s="115">
        <f>'200 mg'!AI32</f>
        <v>15.977308819543699</v>
      </c>
      <c r="D52" s="112">
        <f>'[1]200 mg'!AJ34</f>
        <v>2.2943759466666664</v>
      </c>
    </row>
    <row r="53" spans="2:4" ht="15" thickBot="1" x14ac:dyDescent="0.35"/>
    <row r="54" spans="2:4" x14ac:dyDescent="0.3">
      <c r="B54" s="105" t="s">
        <v>164</v>
      </c>
      <c r="C54" s="126" t="s">
        <v>200</v>
      </c>
      <c r="D54" s="106" t="s">
        <v>165</v>
      </c>
    </row>
    <row r="55" spans="2:4" x14ac:dyDescent="0.3">
      <c r="B55" s="20" t="s">
        <v>166</v>
      </c>
      <c r="C55" s="79">
        <f>'25 mg'!AI37</f>
        <v>4.1880638764677771</v>
      </c>
      <c r="D55" s="79">
        <f>'25 mg'!AJ37</f>
        <v>0.21279631042485808</v>
      </c>
    </row>
    <row r="56" spans="2:4" x14ac:dyDescent="0.3">
      <c r="B56" s="20" t="s">
        <v>167</v>
      </c>
      <c r="C56" s="79">
        <f>'50 mg'!AI37</f>
        <v>8.2124015623260167</v>
      </c>
      <c r="D56" s="79">
        <f>'50 mg'!AJ37</f>
        <v>0.1315774098918509</v>
      </c>
    </row>
    <row r="57" spans="2:4" x14ac:dyDescent="0.3">
      <c r="B57" s="20" t="s">
        <v>168</v>
      </c>
      <c r="C57" s="79">
        <f>'100 mg'!AI37</f>
        <v>16.013552264779115</v>
      </c>
      <c r="D57" s="79">
        <f>'100 mg'!AJ37</f>
        <v>1.7430557707364391</v>
      </c>
    </row>
    <row r="58" spans="2:4" x14ac:dyDescent="0.3">
      <c r="B58" s="20" t="s">
        <v>169</v>
      </c>
      <c r="C58" s="79">
        <f>'150 mg'!AI37</f>
        <v>21.878961196325715</v>
      </c>
      <c r="D58" s="79">
        <f>'150 mg'!AJ37</f>
        <v>2.1481481686164861</v>
      </c>
    </row>
    <row r="59" spans="2:4" ht="15" thickBot="1" x14ac:dyDescent="0.35">
      <c r="B59" s="114" t="s">
        <v>163</v>
      </c>
      <c r="C59" s="115">
        <f>'200 mg'!AI37</f>
        <v>20.773966185084131</v>
      </c>
      <c r="D59" s="115">
        <f>'200 mg'!AJ37</f>
        <v>1.0058695033058831</v>
      </c>
    </row>
    <row r="60" spans="2:4" ht="15" thickBot="1" x14ac:dyDescent="0.35"/>
    <row r="61" spans="2:4" x14ac:dyDescent="0.3">
      <c r="B61" s="105" t="s">
        <v>164</v>
      </c>
      <c r="C61" s="126" t="s">
        <v>193</v>
      </c>
      <c r="D61" s="106" t="s">
        <v>165</v>
      </c>
    </row>
    <row r="62" spans="2:4" x14ac:dyDescent="0.3">
      <c r="B62" s="20" t="s">
        <v>166</v>
      </c>
      <c r="C62" s="79">
        <f>'25 mg'!AI42</f>
        <v>0.12812584796473914</v>
      </c>
      <c r="D62" s="79">
        <f>'25 mg'!AJ42</f>
        <v>0.38479163000832867</v>
      </c>
    </row>
    <row r="63" spans="2:4" x14ac:dyDescent="0.3">
      <c r="B63" s="20" t="s">
        <v>167</v>
      </c>
      <c r="C63" s="79">
        <f>'50 mg'!AI42</f>
        <v>4.3108491089735903</v>
      </c>
      <c r="D63" s="79">
        <f>'50 mg'!AJ42</f>
        <v>1.5863441815797286</v>
      </c>
    </row>
    <row r="64" spans="2:4" x14ac:dyDescent="0.3">
      <c r="B64" s="20" t="s">
        <v>168</v>
      </c>
      <c r="C64" s="79">
        <f>'100 mg'!AI42</f>
        <v>14.949115968218484</v>
      </c>
      <c r="D64" s="79">
        <f>'100 mg'!AJ42</f>
        <v>1.922562652986594</v>
      </c>
    </row>
    <row r="65" spans="2:4" x14ac:dyDescent="0.3">
      <c r="B65" s="20" t="s">
        <v>169</v>
      </c>
      <c r="C65" s="79">
        <f>'150 mg'!AI42</f>
        <v>18.465450308387357</v>
      </c>
      <c r="D65" s="79">
        <f>'150 mg'!AJ42</f>
        <v>0.67218698173284364</v>
      </c>
    </row>
    <row r="66" spans="2:4" ht="15" thickBot="1" x14ac:dyDescent="0.35">
      <c r="B66" s="114" t="s">
        <v>163</v>
      </c>
      <c r="C66" s="115">
        <f>'200 mg'!AI42</f>
        <v>18.692871346031385</v>
      </c>
      <c r="D66" s="115">
        <f>'200 mg'!AJ42</f>
        <v>1.220384230828216</v>
      </c>
    </row>
    <row r="67" spans="2:4" ht="15" thickBot="1" x14ac:dyDescent="0.35"/>
    <row r="68" spans="2:4" x14ac:dyDescent="0.3">
      <c r="B68" s="105" t="s">
        <v>164</v>
      </c>
      <c r="C68" s="126" t="s">
        <v>196</v>
      </c>
      <c r="D68" s="106" t="s">
        <v>165</v>
      </c>
    </row>
    <row r="69" spans="2:4" x14ac:dyDescent="0.3">
      <c r="B69" s="20" t="s">
        <v>166</v>
      </c>
      <c r="C69" s="79">
        <f>'25 mg'!AI47</f>
        <v>1.2812584796473916E-2</v>
      </c>
      <c r="D69" s="79">
        <f>'25 mg'!AJ47</f>
        <v>3.8479163000832872E-2</v>
      </c>
    </row>
    <row r="70" spans="2:4" x14ac:dyDescent="0.3">
      <c r="B70" s="20" t="s">
        <v>167</v>
      </c>
      <c r="C70" s="79">
        <f>'50 mg'!AI47</f>
        <v>0.43108491089735906</v>
      </c>
      <c r="D70" s="79">
        <f>'50 mg'!AJ47</f>
        <v>0.1586344181579728</v>
      </c>
    </row>
    <row r="71" spans="2:4" x14ac:dyDescent="0.3">
      <c r="B71" s="20" t="s">
        <v>168</v>
      </c>
      <c r="C71" s="79">
        <f>'100 mg'!AI47</f>
        <v>1.4949115968218483</v>
      </c>
      <c r="D71" s="79">
        <f>'100 mg'!AJ47</f>
        <v>0.19225626529865986</v>
      </c>
    </row>
    <row r="72" spans="2:4" x14ac:dyDescent="0.3">
      <c r="B72" s="20" t="s">
        <v>169</v>
      </c>
      <c r="C72" s="79">
        <f>'150 mg'!AI47</f>
        <v>1.8465450308387357</v>
      </c>
      <c r="D72" s="79">
        <f>'150 mg'!AJ47</f>
        <v>6.7218698173284297E-2</v>
      </c>
    </row>
    <row r="73" spans="2:4" ht="15" thickBot="1" x14ac:dyDescent="0.35">
      <c r="B73" s="114" t="s">
        <v>163</v>
      </c>
      <c r="C73" s="115">
        <f>'200 mg'!AI47</f>
        <v>1.869287134603139</v>
      </c>
      <c r="D73" s="115">
        <f>'200 mg'!AJ47</f>
        <v>0.12203842308282163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224E-5E0E-4C44-8F33-CE6D60F8BE78}">
  <dimension ref="A1:M26"/>
  <sheetViews>
    <sheetView zoomScale="76" zoomScaleNormal="70" workbookViewId="0">
      <selection activeCell="H20" sqref="H20"/>
    </sheetView>
  </sheetViews>
  <sheetFormatPr baseColWidth="10" defaultRowHeight="14.4" x14ac:dyDescent="0.3"/>
  <cols>
    <col min="3" max="3" width="20" customWidth="1"/>
    <col min="4" max="8" width="29.88671875" customWidth="1"/>
    <col min="9" max="9" width="44.44140625" customWidth="1"/>
    <col min="10" max="10" width="29.88671875" customWidth="1"/>
    <col min="11" max="11" width="27" bestFit="1" customWidth="1"/>
    <col min="12" max="12" width="26.77734375" bestFit="1" customWidth="1"/>
  </cols>
  <sheetData>
    <row r="1" spans="1:13" s="85" customFormat="1" x14ac:dyDescent="0.3"/>
    <row r="2" spans="1:13" s="85" customFormat="1" x14ac:dyDescent="0.3"/>
    <row r="3" spans="1:13" s="85" customFormat="1" x14ac:dyDescent="0.3"/>
    <row r="4" spans="1:13" s="85" customFormat="1" x14ac:dyDescent="0.3">
      <c r="C4" s="85" t="s">
        <v>134</v>
      </c>
      <c r="D4" s="85" t="s">
        <v>123</v>
      </c>
      <c r="E4" s="85" t="s">
        <v>171</v>
      </c>
      <c r="F4" s="85" t="s">
        <v>172</v>
      </c>
      <c r="G4" s="85" t="s">
        <v>173</v>
      </c>
      <c r="H4" s="85" t="s">
        <v>201</v>
      </c>
      <c r="I4" s="85" t="s">
        <v>170</v>
      </c>
      <c r="J4" s="85" t="s">
        <v>179</v>
      </c>
      <c r="K4" s="85" t="s">
        <v>202</v>
      </c>
      <c r="L4" s="85" t="s">
        <v>203</v>
      </c>
    </row>
    <row r="5" spans="1:13" s="85" customFormat="1" x14ac:dyDescent="0.3">
      <c r="A5" s="126" t="s">
        <v>174</v>
      </c>
      <c r="B5" s="32" t="s">
        <v>21</v>
      </c>
      <c r="C5" s="78">
        <f>'25 mg'!AH2</f>
        <v>37.969638006480508</v>
      </c>
      <c r="D5" s="78">
        <f>'25 mg'!AH7</f>
        <v>46.077310485079146</v>
      </c>
      <c r="E5" s="78">
        <f>'25 mg'!AH12</f>
        <v>37.286872566496889</v>
      </c>
      <c r="F5" s="78">
        <f>'25 mg'!AH22</f>
        <v>7.0632989000271207E-2</v>
      </c>
      <c r="G5" s="78">
        <f>'25 mg'!AH17</f>
        <v>3.7286872566496889</v>
      </c>
      <c r="H5" s="78">
        <f>'25 mg'!AH37</f>
        <v>4.4766387728459538</v>
      </c>
      <c r="I5" s="78">
        <f>'25 mg'!AH27</f>
        <v>5.629375765013056E-2</v>
      </c>
      <c r="J5" s="78">
        <f>'25 mg'!AH32</f>
        <v>0.5629375765013056</v>
      </c>
      <c r="K5" s="78">
        <f>'25 mg'!AH42</f>
        <v>0.65834135777077785</v>
      </c>
      <c r="L5" s="140">
        <f>'25 mg'!AH47</f>
        <v>6.5834135777077793E-2</v>
      </c>
      <c r="M5" s="79"/>
    </row>
    <row r="6" spans="1:13" s="85" customFormat="1" x14ac:dyDescent="0.3">
      <c r="A6" s="127"/>
      <c r="B6" s="21" t="s">
        <v>26</v>
      </c>
      <c r="C6" s="79">
        <f>'25 mg'!AH3</f>
        <v>-102.90593985347464</v>
      </c>
      <c r="D6" s="79">
        <f>'25 mg'!AH8</f>
        <v>29.253656607408256</v>
      </c>
      <c r="E6" s="79">
        <f>'25 mg'!AH13</f>
        <v>31.478161677989203</v>
      </c>
      <c r="F6" s="79">
        <f>'25 mg'!AH23</f>
        <v>-3.0870964252492965E-2</v>
      </c>
      <c r="G6" s="79">
        <f>'25 mg'!AH18</f>
        <v>3.1478161677989203</v>
      </c>
      <c r="H6" s="79">
        <f>'25 mg'!AH38</f>
        <v>3.9698386065573779</v>
      </c>
      <c r="I6" s="79">
        <f>'25 mg'!AH28</f>
        <v>-2.0770944836065543E-2</v>
      </c>
      <c r="J6" s="79">
        <f>'25 mg'!AH33</f>
        <v>-0.20770944836065541</v>
      </c>
      <c r="K6" s="79">
        <f>'25 mg'!AH43</f>
        <v>-0.24305043505827245</v>
      </c>
      <c r="L6" s="141">
        <f>'25 mg'!AH48</f>
        <v>-2.4305043505827247E-2</v>
      </c>
      <c r="M6" s="79"/>
    </row>
    <row r="7" spans="1:13" s="85" customFormat="1" x14ac:dyDescent="0.3">
      <c r="A7" s="128"/>
      <c r="B7" s="10" t="s">
        <v>27</v>
      </c>
      <c r="C7" s="80">
        <f>'25 mg'!AH4</f>
        <v>-809.21732741327003</v>
      </c>
      <c r="D7" s="80">
        <f>'25 mg'!AH9</f>
        <v>33.354913106721781</v>
      </c>
      <c r="E7" s="80">
        <f>'25 mg'!AH14</f>
        <v>34.626089661080847</v>
      </c>
      <c r="F7" s="80">
        <f>'25 mg'!AH24</f>
        <v>-3.5688753299142196E-3</v>
      </c>
      <c r="G7" s="80">
        <f>'25 mg'!AH19</f>
        <v>3.4626089661080846</v>
      </c>
      <c r="H7" s="80">
        <f>'25 mg'!AH39</f>
        <v>4.1177142500000006</v>
      </c>
      <c r="I7" s="80">
        <f>'25 mg'!AH29</f>
        <v>-2.6413838749999919E-3</v>
      </c>
      <c r="J7" s="80">
        <f>'25 mg'!AH34</f>
        <v>-2.6413838749999918E-2</v>
      </c>
      <c r="K7" s="80">
        <f>'25 mg'!AH44</f>
        <v>-3.0913378818287998E-2</v>
      </c>
      <c r="L7" s="142">
        <f>'25 mg'!AH49</f>
        <v>-3.0913378818288001E-3</v>
      </c>
      <c r="M7" s="79"/>
    </row>
    <row r="8" spans="1:13" s="85" customFormat="1" x14ac:dyDescent="0.3">
      <c r="A8" s="126" t="s">
        <v>175</v>
      </c>
      <c r="B8" s="32" t="s">
        <v>21</v>
      </c>
      <c r="C8" s="78">
        <f>'50 mg'!AH2</f>
        <v>14.402779267843167</v>
      </c>
      <c r="D8" s="78">
        <f>'50 mg'!AH7</f>
        <v>58.129572247406628</v>
      </c>
      <c r="E8" s="78">
        <f>'50 mg'!AH12</f>
        <v>32.535485214743368</v>
      </c>
      <c r="F8" s="78">
        <f>'50 mg'!AH22</f>
        <v>0.2134009788622781</v>
      </c>
      <c r="G8" s="78">
        <f>'50 mg'!AH17</f>
        <v>3.2535485214743369</v>
      </c>
      <c r="H8" s="78">
        <f>'50 mg'!AH37</f>
        <v>8.3879939553752525</v>
      </c>
      <c r="I8" s="78">
        <f>'50 mg'!AH27</f>
        <v>0.29681126958215009</v>
      </c>
      <c r="J8" s="78">
        <f>'50 mg'!AH32</f>
        <v>2.9681126958215009</v>
      </c>
      <c r="K8" s="78">
        <f>'50 mg'!AH42</f>
        <v>3.4715316175090698</v>
      </c>
      <c r="L8" s="140">
        <f>'50 mg'!AH47</f>
        <v>0.34715316175090699</v>
      </c>
      <c r="M8" s="79"/>
    </row>
    <row r="9" spans="1:13" s="85" customFormat="1" x14ac:dyDescent="0.3">
      <c r="A9" s="127"/>
      <c r="B9" s="21" t="s">
        <v>26</v>
      </c>
      <c r="C9" s="79">
        <f>'50 mg'!AH3</f>
        <v>7.651759042191479</v>
      </c>
      <c r="D9" s="79">
        <f>'50 mg'!AH8</f>
        <v>98.332151006411962</v>
      </c>
      <c r="E9" s="79">
        <f>'50 mg'!AH13</f>
        <v>36.137449564597169</v>
      </c>
      <c r="F9" s="79">
        <f>'50 mg'!AH23</f>
        <v>0.36164395992556386</v>
      </c>
      <c r="G9" s="79">
        <f>'50 mg'!AH18</f>
        <v>3.6137449564597168</v>
      </c>
      <c r="H9" s="79">
        <f>'50 mg'!AH38</f>
        <v>8.0712723945902951</v>
      </c>
      <c r="I9" s="79">
        <f>'50 mg'!AH28</f>
        <v>0.55868293505171052</v>
      </c>
      <c r="J9" s="79">
        <f>'50 mg'!AH33</f>
        <v>5.5868293505171049</v>
      </c>
      <c r="K9" s="79">
        <f>'50 mg'!AH43</f>
        <v>6.5322823702984829</v>
      </c>
      <c r="L9" s="141">
        <f>'50 mg'!AH48</f>
        <v>0.65322823702984834</v>
      </c>
      <c r="M9" s="79"/>
    </row>
    <row r="10" spans="1:13" s="85" customFormat="1" x14ac:dyDescent="0.3">
      <c r="A10" s="128"/>
      <c r="B10" s="10" t="s">
        <v>27</v>
      </c>
      <c r="C10" s="80">
        <f>'50 mg'!AH4</f>
        <v>17.072778782264713</v>
      </c>
      <c r="D10" s="80">
        <f>'50 mg'!AH9</f>
        <v>52.985319153005982</v>
      </c>
      <c r="E10" s="80">
        <f>'50 mg'!AH14</f>
        <v>32.018387050210912</v>
      </c>
      <c r="F10" s="80">
        <f>'50 mg'!AH24</f>
        <v>0.18293480285875072</v>
      </c>
      <c r="G10" s="80">
        <f>'50 mg'!AH19</f>
        <v>3.2018387050210912</v>
      </c>
      <c r="H10" s="80">
        <f>'50 mg'!AH39</f>
        <v>8.1779383370125078</v>
      </c>
      <c r="I10" s="80">
        <f>'50 mg'!AH29</f>
        <v>0.25039316999999994</v>
      </c>
      <c r="J10" s="80">
        <f>'50 mg'!AH34</f>
        <v>2.5039316999999994</v>
      </c>
      <c r="K10" s="80">
        <f>'50 mg'!AH44</f>
        <v>2.9287333391132186</v>
      </c>
      <c r="L10" s="142">
        <f>'50 mg'!AH49</f>
        <v>0.29287333391132181</v>
      </c>
      <c r="M10" s="79"/>
    </row>
    <row r="11" spans="1:13" s="85" customFormat="1" x14ac:dyDescent="0.3">
      <c r="A11" s="126" t="s">
        <v>176</v>
      </c>
      <c r="B11" s="32" t="s">
        <v>21</v>
      </c>
      <c r="C11" s="78">
        <f>'100 mg'!AH2</f>
        <v>5.9447920732044528</v>
      </c>
      <c r="D11" s="78">
        <f>'100 mg'!AH7</f>
        <v>116.25469719284149</v>
      </c>
      <c r="E11" s="78">
        <f>'100 mg'!AH12</f>
        <v>39.856859817216076</v>
      </c>
      <c r="F11" s="78">
        <f>'100 mg'!AH22</f>
        <v>0.42204645002554075</v>
      </c>
      <c r="G11" s="78">
        <f>'100 mg'!AH17</f>
        <v>3.9856859817216077</v>
      </c>
      <c r="H11" s="78">
        <f>'100 mg'!AH37</f>
        <v>15.677245770138189</v>
      </c>
      <c r="I11" s="78">
        <f>'100 mg'!AH27</f>
        <v>1.4382416062184027</v>
      </c>
      <c r="J11" s="78">
        <f>'100 mg'!AH32</f>
        <v>14.382416062184026</v>
      </c>
      <c r="K11" s="78">
        <f>'100 mg'!AH42</f>
        <v>16.821161209362813</v>
      </c>
      <c r="L11" s="140">
        <f>'100 mg'!AH47</f>
        <v>1.6821161209362816</v>
      </c>
      <c r="M11" s="79"/>
    </row>
    <row r="12" spans="1:13" s="85" customFormat="1" x14ac:dyDescent="0.3">
      <c r="A12" s="127"/>
      <c r="B12" s="21" t="s">
        <v>26</v>
      </c>
      <c r="C12" s="79">
        <f>'100 mg'!AH3</f>
        <v>8.129435223581341</v>
      </c>
      <c r="D12" s="79">
        <f>'100 mg'!AH8</f>
        <v>97.461993507197548</v>
      </c>
      <c r="E12" s="79">
        <f>'100 mg'!AH13</f>
        <v>36.371181634671586</v>
      </c>
      <c r="F12" s="79">
        <f>'100 mg'!AH23</f>
        <v>0.33820670583326129</v>
      </c>
      <c r="G12" s="79">
        <f>'100 mg'!AH18</f>
        <v>3.6371181634671585</v>
      </c>
      <c r="H12" s="79">
        <f>'100 mg'!AH38</f>
        <v>14.066867791116447</v>
      </c>
      <c r="I12" s="79">
        <f>'100 mg'!AH28</f>
        <v>1.051739397</v>
      </c>
      <c r="J12" s="79">
        <f>'100 mg'!AH33</f>
        <v>10.517393970000001</v>
      </c>
      <c r="K12" s="79">
        <f>'100 mg'!AH43</f>
        <v>12.305476384355089</v>
      </c>
      <c r="L12" s="141">
        <f>'100 mg'!AH48</f>
        <v>1.2305476384355087</v>
      </c>
      <c r="M12" s="79"/>
    </row>
    <row r="13" spans="1:13" s="85" customFormat="1" x14ac:dyDescent="0.3">
      <c r="A13" s="128"/>
      <c r="B13" s="10" t="s">
        <v>27</v>
      </c>
      <c r="C13" s="80">
        <f>'100 mg'!AH4</f>
        <v>6.3631186588410218</v>
      </c>
      <c r="D13" s="80">
        <f>'100 mg'!AH9</f>
        <v>93.597372365190196</v>
      </c>
      <c r="E13" s="80">
        <f>'100 mg'!AH14</f>
        <v>43.605645316137618</v>
      </c>
      <c r="F13" s="80">
        <f>'100 mg'!AH24</f>
        <v>0.3604020561613866</v>
      </c>
      <c r="G13" s="80">
        <f>'100 mg'!AH19</f>
        <v>4.360564531613762</v>
      </c>
      <c r="H13" s="80">
        <f>'100 mg'!AH39</f>
        <v>18.296543233082708</v>
      </c>
      <c r="I13" s="80">
        <f>'100 mg'!AH29</f>
        <v>1.3436881753132834</v>
      </c>
      <c r="J13" s="80">
        <f>'100 mg'!AH34</f>
        <v>13.436881753132834</v>
      </c>
      <c r="K13" s="80">
        <f>'100 mg'!AH44</f>
        <v>15.720710310937545</v>
      </c>
      <c r="L13" s="142">
        <f>'100 mg'!AH49</f>
        <v>1.5720710310937545</v>
      </c>
      <c r="M13" s="79"/>
    </row>
    <row r="14" spans="1:13" s="85" customFormat="1" x14ac:dyDescent="0.3">
      <c r="A14" s="126" t="s">
        <v>177</v>
      </c>
      <c r="B14" s="32" t="s">
        <v>21</v>
      </c>
      <c r="C14" s="78">
        <f>'150 mg'!AH2</f>
        <v>8.5609060331264697</v>
      </c>
      <c r="D14" s="78">
        <f>'150 mg'!AH7</f>
        <v>92.083462492744744</v>
      </c>
      <c r="E14" s="78">
        <f>'150 mg'!AH12</f>
        <v>39.129646035001528</v>
      </c>
      <c r="F14" s="78">
        <f>'150 mg'!AH22</f>
        <v>0.29852063072997759</v>
      </c>
      <c r="G14" s="78">
        <f>'150 mg'!AH17</f>
        <v>3.9129646035001526</v>
      </c>
      <c r="H14" s="78">
        <f>'150 mg'!AH37</f>
        <v>20.560481323155219</v>
      </c>
      <c r="I14" s="78">
        <f>'150 mg'!AH27</f>
        <v>1.4980837834656489</v>
      </c>
      <c r="J14" s="78">
        <f>'150 mg'!AH32</f>
        <v>14.980837834656489</v>
      </c>
      <c r="K14" s="78">
        <f>'150 mg'!AH42</f>
        <v>17.528429718646532</v>
      </c>
      <c r="L14" s="140">
        <f>'150 mg'!AH47</f>
        <v>1.7528429718646532</v>
      </c>
      <c r="M14" s="79"/>
    </row>
    <row r="15" spans="1:13" s="85" customFormat="1" x14ac:dyDescent="0.3">
      <c r="A15" s="127"/>
      <c r="B15" s="21" t="s">
        <v>26</v>
      </c>
      <c r="C15" s="79">
        <f>'150 mg'!AH3</f>
        <v>7.8633887108005496</v>
      </c>
      <c r="D15" s="79">
        <f>'150 mg'!AH8</f>
        <v>82.209367629247126</v>
      </c>
      <c r="E15" s="79">
        <f>'150 mg'!AH13</f>
        <v>40.956693192686714</v>
      </c>
      <c r="F15" s="79">
        <f>'150 mg'!AH23</f>
        <v>0.31050269251415952</v>
      </c>
      <c r="G15" s="79">
        <f>'150 mg'!AH18</f>
        <v>4.0956693192686711</v>
      </c>
      <c r="H15" s="79">
        <f>'150 mg'!AH38</f>
        <v>24.908437186456851</v>
      </c>
      <c r="I15" s="79">
        <f>'150 mg'!AH28</f>
        <v>1.6309704342079165</v>
      </c>
      <c r="J15" s="79">
        <f>'150 mg'!AH33</f>
        <v>16.309704342079165</v>
      </c>
      <c r="K15" s="79">
        <f>'150 mg'!AH43</f>
        <v>19.072695308425523</v>
      </c>
      <c r="L15" s="141">
        <f>'150 mg'!AH48</f>
        <v>1.9072695308425522</v>
      </c>
      <c r="M15" s="79"/>
    </row>
    <row r="16" spans="1:13" s="85" customFormat="1" x14ac:dyDescent="0.3">
      <c r="A16" s="128"/>
      <c r="B16" s="10" t="s">
        <v>27</v>
      </c>
      <c r="C16" s="80">
        <f>'150 mg'!AH4</f>
        <v>7.9839018984519656</v>
      </c>
      <c r="D16" s="80">
        <f>'150 mg'!AH9</f>
        <v>100.15685374052032</v>
      </c>
      <c r="E16" s="80">
        <f>'150 mg'!AH14</f>
        <v>49.589347081114411</v>
      </c>
      <c r="F16" s="80">
        <f>'150 mg'!AH24</f>
        <v>0.25257852216225918</v>
      </c>
      <c r="G16" s="80">
        <f>'150 mg'!AH19</f>
        <v>4.9589347081114408</v>
      </c>
      <c r="H16" s="80">
        <f>'150 mg'!AH39</f>
        <v>20.167965079365079</v>
      </c>
      <c r="I16" s="80">
        <f>'150 mg'!AH29</f>
        <v>1.6063517141269845</v>
      </c>
      <c r="J16" s="80">
        <f>'150 mg'!AH34</f>
        <v>16.063517141269845</v>
      </c>
      <c r="K16" s="80">
        <f>'150 mg'!AH44</f>
        <v>18.795225898090013</v>
      </c>
      <c r="L16" s="142">
        <f>'150 mg'!AH49</f>
        <v>1.8795225898090011</v>
      </c>
      <c r="M16" s="79"/>
    </row>
    <row r="17" spans="1:13" s="85" customFormat="1" x14ac:dyDescent="0.3">
      <c r="A17" s="126" t="s">
        <v>178</v>
      </c>
      <c r="B17" s="32" t="s">
        <v>21</v>
      </c>
      <c r="C17" s="78">
        <f>'200 mg'!AH2</f>
        <v>9.8023713005102948</v>
      </c>
      <c r="D17" s="78">
        <f>'200 mg'!AH7</f>
        <v>102.36429177268872</v>
      </c>
      <c r="E17" s="78">
        <f>'200 mg'!AH12</f>
        <v>44.277933214864589</v>
      </c>
      <c r="F17" s="78">
        <f>'200 mg'!AH22</f>
        <v>0.23039948826265594</v>
      </c>
      <c r="G17" s="78">
        <f>'200 mg'!AH17</f>
        <v>4.4277933214864591</v>
      </c>
      <c r="H17" s="78">
        <f>'200 mg'!AH37</f>
        <v>21.308913943607568</v>
      </c>
      <c r="I17" s="78">
        <f>'200 mg'!AH27</f>
        <v>1.7444855000656623</v>
      </c>
      <c r="J17" s="78">
        <f>'200 mg'!AH32</f>
        <v>17.444855000656624</v>
      </c>
      <c r="K17" s="78">
        <f>'200 mg'!AH42</f>
        <v>20.408345453936711</v>
      </c>
      <c r="L17" s="140">
        <f>'200 mg'!AH47</f>
        <v>2.0408345453936714</v>
      </c>
      <c r="M17" s="79"/>
    </row>
    <row r="18" spans="1:13" s="85" customFormat="1" x14ac:dyDescent="0.3">
      <c r="A18" s="127"/>
      <c r="B18" s="21" t="s">
        <v>26</v>
      </c>
      <c r="C18" s="79">
        <f>'200 mg'!AH3</f>
        <v>11.116825787689441</v>
      </c>
      <c r="D18" s="79">
        <f>'200 mg'!AH8</f>
        <v>89.631488639697906</v>
      </c>
      <c r="E18" s="79">
        <f>'200 mg'!AH13</f>
        <v>42.399976547498156</v>
      </c>
      <c r="F18" s="79">
        <f>'200 mg'!AH23</f>
        <v>0.2121551525247794</v>
      </c>
      <c r="G18" s="79">
        <f>'200 mg'!AH18</f>
        <v>4.2399976547498159</v>
      </c>
      <c r="H18" s="79">
        <f>'200 mg'!AH38</f>
        <v>21.647997171453433</v>
      </c>
      <c r="I18" s="79">
        <f>'200 mg'!AH28</f>
        <v>1.5382173766666665</v>
      </c>
      <c r="J18" s="79">
        <f>'200 mg'!AH33</f>
        <v>15.382173766666664</v>
      </c>
      <c r="K18" s="79">
        <f>'200 mg'!AH43</f>
        <v>17.999048736564522</v>
      </c>
      <c r="L18" s="141">
        <f>'200 mg'!AH48</f>
        <v>1.7999048736564522</v>
      </c>
      <c r="M18" s="79"/>
    </row>
    <row r="19" spans="1:13" s="85" customFormat="1" x14ac:dyDescent="0.3">
      <c r="A19" s="128"/>
      <c r="B19" s="10" t="s">
        <v>27</v>
      </c>
      <c r="C19" s="80">
        <f>'200 mg'!AH4</f>
        <v>11.320894023559214</v>
      </c>
      <c r="D19" s="80">
        <f>'200 mg'!AH9</f>
        <v>98.505580214790427</v>
      </c>
      <c r="E19" s="80">
        <f>'200 mg'!AH14</f>
        <v>38.024149878094832</v>
      </c>
      <c r="F19" s="80">
        <f>'200 mg'!AH24</f>
        <v>0.23230564431191683</v>
      </c>
      <c r="G19" s="80">
        <f>'200 mg'!AH19</f>
        <v>3.8024149878094833</v>
      </c>
      <c r="H19" s="80">
        <f>'200 mg'!AH39</f>
        <v>19.364987440191388</v>
      </c>
      <c r="I19" s="80">
        <f>'200 mg'!AH29</f>
        <v>1.5104897691307815</v>
      </c>
      <c r="J19" s="80">
        <f>'200 mg'!AH34</f>
        <v>15.104897691307814</v>
      </c>
      <c r="K19" s="80">
        <f>'200 mg'!AH44</f>
        <v>17.671219847592926</v>
      </c>
      <c r="L19" s="142">
        <f>'200 mg'!AH49</f>
        <v>1.7671219847592929</v>
      </c>
      <c r="M19" s="79"/>
    </row>
    <row r="20" spans="1:13" s="121" customFormat="1" ht="150" customHeight="1" x14ac:dyDescent="0.3">
      <c r="A20" s="123"/>
      <c r="B20" s="124"/>
      <c r="C20" s="125"/>
      <c r="D20" s="125"/>
      <c r="E20" s="125"/>
      <c r="F20" s="125"/>
      <c r="G20" s="125"/>
      <c r="I20" s="125"/>
      <c r="K20" s="125"/>
      <c r="M20" s="125"/>
    </row>
    <row r="26" spans="1:13" x14ac:dyDescent="0.3">
      <c r="M26">
        <f>120/100</f>
        <v>1.2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Berechnungen Fütterungsmenge</vt:lpstr>
      <vt:lpstr>25 mg</vt:lpstr>
      <vt:lpstr>50 mg</vt:lpstr>
      <vt:lpstr>100 mg</vt:lpstr>
      <vt:lpstr>150 mg</vt:lpstr>
      <vt:lpstr>200 mg</vt:lpstr>
      <vt:lpstr>Wachstumskurven</vt:lpstr>
      <vt:lpstr>Zusammenfassung</vt:lpstr>
      <vt:lpstr>OneWay ANOVA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2024-09-09T08:26:05Z</dcterms:modified>
  <cp:category/>
  <cp:contentStatus/>
</cp:coreProperties>
</file>